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480" windowHeight="11640" tabRatio="888"/>
  </bookViews>
  <sheets>
    <sheet name="Plant_Construction _Cost" sheetId="16" r:id="rId1"/>
    <sheet name="ProcessVessel" sheetId="5" r:id="rId2"/>
    <sheet name="Sieve_Trays" sheetId="6" r:id="rId3"/>
    <sheet name="HeatExchanger" sheetId="1" r:id="rId4"/>
    <sheet name="Pump+EL_DRV" sheetId="8" r:id="rId5"/>
    <sheet name="Compressor" sheetId="11" r:id="rId6"/>
    <sheet name="Driver_for_Compressor" sheetId="13" r:id="rId7"/>
    <sheet name="Furnace" sheetId="15" r:id="rId8"/>
    <sheet name="PV_Coeff" sheetId="4" r:id="rId9"/>
    <sheet name="HE_Coeff" sheetId="2" r:id="rId10"/>
    <sheet name="HE_FM" sheetId="3" r:id="rId11"/>
    <sheet name="Pump_Coeff" sheetId="7" r:id="rId12"/>
    <sheet name="Pump_FM" sheetId="9" r:id="rId13"/>
    <sheet name="Comp_Coeff" sheetId="10" r:id="rId14"/>
    <sheet name="DRV_Coeff" sheetId="12" r:id="rId15"/>
    <sheet name="Furnace_Coeff" sheetId="14" r:id="rId16"/>
  </sheets>
  <definedNames>
    <definedName name="_xlnm._FilterDatabase" localSheetId="3" hidden="1">HeatExchanger!$E$1:$E$36</definedName>
  </definedNames>
  <calcPr calcId="145621"/>
</workbook>
</file>

<file path=xl/calcChain.xml><?xml version="1.0" encoding="utf-8"?>
<calcChain xmlns="http://schemas.openxmlformats.org/spreadsheetml/2006/main">
  <c r="N13" i="6" l="1"/>
  <c r="O13" i="6"/>
  <c r="P13" i="6"/>
  <c r="Q13" i="6" s="1"/>
  <c r="N12" i="6"/>
  <c r="O12" i="6"/>
  <c r="Q12" i="6" s="1"/>
  <c r="P12" i="6"/>
  <c r="Y13" i="15"/>
  <c r="Z13" i="15"/>
  <c r="AA13" i="15"/>
  <c r="Y12" i="15"/>
  <c r="Z12" i="15"/>
  <c r="AA12" i="15"/>
  <c r="Y11" i="15"/>
  <c r="Z11" i="15"/>
  <c r="AA11" i="15"/>
  <c r="L11" i="11"/>
  <c r="M11" i="11"/>
  <c r="N11" i="11"/>
  <c r="D11" i="11"/>
  <c r="H11" i="11" s="1"/>
  <c r="E1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G11" i="11"/>
  <c r="S30" i="8"/>
  <c r="W30" i="8" s="1"/>
  <c r="T30" i="8"/>
  <c r="U30" i="8"/>
  <c r="V30" i="8"/>
  <c r="D30" i="8"/>
  <c r="E30" i="8"/>
  <c r="S29" i="8"/>
  <c r="T29" i="8"/>
  <c r="U29" i="8"/>
  <c r="V29" i="8"/>
  <c r="W29" i="8" s="1"/>
  <c r="D29" i="8"/>
  <c r="E29" i="8"/>
  <c r="S28" i="8"/>
  <c r="T28" i="8"/>
  <c r="U28" i="8"/>
  <c r="V28" i="8"/>
  <c r="D28" i="8"/>
  <c r="O28" i="8" s="1"/>
  <c r="E28" i="8"/>
  <c r="S27" i="8"/>
  <c r="W27" i="8" s="1"/>
  <c r="T27" i="8"/>
  <c r="U27" i="8"/>
  <c r="V27" i="8"/>
  <c r="D27" i="8"/>
  <c r="E27" i="8"/>
  <c r="S26" i="8"/>
  <c r="T26" i="8"/>
  <c r="U26" i="8"/>
  <c r="V26" i="8"/>
  <c r="D26" i="8"/>
  <c r="E26" i="8"/>
  <c r="W26" i="8"/>
  <c r="S25" i="8"/>
  <c r="T25" i="8"/>
  <c r="U25" i="8"/>
  <c r="V25" i="8"/>
  <c r="D25" i="8"/>
  <c r="E25" i="8"/>
  <c r="S24" i="8"/>
  <c r="T24" i="8"/>
  <c r="U24" i="8"/>
  <c r="V24" i="8"/>
  <c r="D24" i="8"/>
  <c r="E24" i="8"/>
  <c r="S23" i="8"/>
  <c r="W23" i="8" s="1"/>
  <c r="T23" i="8"/>
  <c r="U23" i="8"/>
  <c r="V23" i="8"/>
  <c r="D23" i="8"/>
  <c r="E23" i="8"/>
  <c r="S22" i="8"/>
  <c r="T22" i="8"/>
  <c r="U22" i="8"/>
  <c r="V22" i="8"/>
  <c r="D22" i="8"/>
  <c r="E22" i="8"/>
  <c r="S21" i="8"/>
  <c r="T21" i="8"/>
  <c r="U21" i="8"/>
  <c r="V21" i="8"/>
  <c r="D21" i="8"/>
  <c r="E21" i="8"/>
  <c r="S20" i="8"/>
  <c r="T20" i="8"/>
  <c r="U20" i="8"/>
  <c r="V20" i="8"/>
  <c r="D20" i="8"/>
  <c r="E20" i="8"/>
  <c r="S19" i="8"/>
  <c r="T19" i="8"/>
  <c r="U19" i="8"/>
  <c r="V19" i="8"/>
  <c r="D19" i="8"/>
  <c r="E19" i="8"/>
  <c r="W19" i="8"/>
  <c r="S18" i="8"/>
  <c r="W18" i="8" s="1"/>
  <c r="T18" i="8"/>
  <c r="U18" i="8"/>
  <c r="V18" i="8"/>
  <c r="D18" i="8"/>
  <c r="E18" i="8"/>
  <c r="S17" i="8"/>
  <c r="T17" i="8"/>
  <c r="U17" i="8"/>
  <c r="V17" i="8"/>
  <c r="D17" i="8"/>
  <c r="E17" i="8"/>
  <c r="S16" i="8"/>
  <c r="T16" i="8"/>
  <c r="U16" i="8"/>
  <c r="V16" i="8"/>
  <c r="D16" i="8"/>
  <c r="E16" i="8"/>
  <c r="S15" i="8"/>
  <c r="T15" i="8"/>
  <c r="U15" i="8"/>
  <c r="V15" i="8"/>
  <c r="D15" i="8"/>
  <c r="O15" i="8" s="1"/>
  <c r="E15" i="8"/>
  <c r="S14" i="8"/>
  <c r="W14" i="8" s="1"/>
  <c r="T14" i="8"/>
  <c r="U14" i="8"/>
  <c r="V14" i="8"/>
  <c r="D14" i="8"/>
  <c r="E14" i="8"/>
  <c r="S13" i="8"/>
  <c r="T13" i="8"/>
  <c r="U13" i="8"/>
  <c r="V13" i="8"/>
  <c r="W13" i="8" s="1"/>
  <c r="D13" i="8"/>
  <c r="E13" i="8"/>
  <c r="S12" i="8"/>
  <c r="T12" i="8"/>
  <c r="U12" i="8"/>
  <c r="V12" i="8"/>
  <c r="D12" i="8"/>
  <c r="G12" i="8" s="1"/>
  <c r="E12" i="8"/>
  <c r="S11" i="8"/>
  <c r="T11" i="8"/>
  <c r="U11" i="8"/>
  <c r="V11" i="8"/>
  <c r="D11" i="8"/>
  <c r="E11" i="8"/>
  <c r="X27" i="1"/>
  <c r="Y27" i="1"/>
  <c r="Z27" i="1"/>
  <c r="AA27" i="1"/>
  <c r="AB27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P20" i="6"/>
  <c r="P19" i="6"/>
  <c r="P18" i="6"/>
  <c r="P17" i="6"/>
  <c r="P16" i="6"/>
  <c r="P15" i="6"/>
  <c r="P14" i="6"/>
  <c r="Q14" i="6" s="1"/>
  <c r="P11" i="6"/>
  <c r="Q11" i="6" s="1"/>
  <c r="AB26" i="5"/>
  <c r="AC26" i="5"/>
  <c r="AD26" i="5"/>
  <c r="AE26" i="5" s="1"/>
  <c r="AB11" i="5"/>
  <c r="AC11" i="5"/>
  <c r="AE11" i="5" s="1"/>
  <c r="AD11" i="5"/>
  <c r="AD30" i="5"/>
  <c r="AD29" i="5"/>
  <c r="AD28" i="5"/>
  <c r="AD27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N20" i="6"/>
  <c r="Q20" i="6" s="1"/>
  <c r="N19" i="6"/>
  <c r="N18" i="6"/>
  <c r="N17" i="6"/>
  <c r="N16" i="6"/>
  <c r="Q16" i="6" s="1"/>
  <c r="N15" i="6"/>
  <c r="Q15" i="6" s="1"/>
  <c r="N14" i="6"/>
  <c r="N11" i="6"/>
  <c r="D12" i="6"/>
  <c r="I12" i="6"/>
  <c r="L12" i="6" s="1"/>
  <c r="R12" i="6" s="1"/>
  <c r="F12" i="6"/>
  <c r="J12" i="6"/>
  <c r="G12" i="6"/>
  <c r="H12" i="6"/>
  <c r="O20" i="6"/>
  <c r="O19" i="6"/>
  <c r="O18" i="6"/>
  <c r="O17" i="6"/>
  <c r="O16" i="6"/>
  <c r="O15" i="6"/>
  <c r="O14" i="6"/>
  <c r="L15" i="6"/>
  <c r="R15" i="6" s="1"/>
  <c r="L14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H20" i="6"/>
  <c r="G20" i="6"/>
  <c r="F20" i="6"/>
  <c r="L20" i="6" s="1"/>
  <c r="H19" i="6"/>
  <c r="G19" i="6"/>
  <c r="F19" i="6"/>
  <c r="H18" i="6"/>
  <c r="G18" i="6"/>
  <c r="F18" i="6"/>
  <c r="H17" i="6"/>
  <c r="G17" i="6"/>
  <c r="F17" i="6"/>
  <c r="L17" i="6" s="1"/>
  <c r="H16" i="6"/>
  <c r="G16" i="6"/>
  <c r="F16" i="6"/>
  <c r="L16" i="6" s="1"/>
  <c r="R16" i="6" s="1"/>
  <c r="H15" i="6"/>
  <c r="G15" i="6"/>
  <c r="F15" i="6"/>
  <c r="H14" i="6"/>
  <c r="G14" i="6"/>
  <c r="F14" i="6"/>
  <c r="H13" i="6"/>
  <c r="G13" i="6"/>
  <c r="F13" i="6"/>
  <c r="D20" i="6"/>
  <c r="R20" i="6" s="1"/>
  <c r="D19" i="6"/>
  <c r="D18" i="6"/>
  <c r="D17" i="6"/>
  <c r="D16" i="6"/>
  <c r="D15" i="6"/>
  <c r="D14" i="6"/>
  <c r="D13" i="6"/>
  <c r="N14" i="13"/>
  <c r="G14" i="13"/>
  <c r="H14" i="13"/>
  <c r="N25" i="13"/>
  <c r="G12" i="15"/>
  <c r="T14" i="15"/>
  <c r="U14" i="15"/>
  <c r="V14" i="15"/>
  <c r="S18" i="15"/>
  <c r="G21" i="15"/>
  <c r="H21" i="15"/>
  <c r="S27" i="15"/>
  <c r="T27" i="15"/>
  <c r="A14" i="15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12" i="15"/>
  <c r="A13" i="15" s="1"/>
  <c r="A13" i="13"/>
  <c r="A14" i="13" s="1"/>
  <c r="A15" i="13" s="1"/>
  <c r="A16" i="13" s="1"/>
  <c r="A17" i="13" s="1"/>
  <c r="A18" i="13" s="1"/>
  <c r="A19" i="13" s="1"/>
  <c r="A20" i="13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12" i="13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12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/>
  <c r="A41" i="1"/>
  <c r="A42" i="1"/>
  <c r="A43" i="1" s="1"/>
  <c r="A44" i="1" s="1"/>
  <c r="A45" i="1" s="1"/>
  <c r="A46" i="1" s="1"/>
  <c r="A47" i="1" s="1"/>
  <c r="A48" i="1" s="1"/>
  <c r="A49" i="1" s="1"/>
  <c r="A50" i="1" s="1"/>
  <c r="A51" i="1"/>
  <c r="A52" i="1" s="1"/>
  <c r="A53" i="1" s="1"/>
  <c r="A54" i="1" s="1"/>
  <c r="A55" i="1" s="1"/>
  <c r="A56" i="1" s="1"/>
  <c r="A57" i="1" s="1"/>
  <c r="A58" i="1" s="1"/>
  <c r="A10" i="1"/>
  <c r="A11" i="1" s="1"/>
  <c r="A12" i="1" s="1"/>
  <c r="A13" i="1" s="1"/>
  <c r="A14" i="1" s="1"/>
  <c r="A15" i="1" s="1"/>
  <c r="A16" i="1" s="1"/>
  <c r="A17" i="1" s="1"/>
  <c r="A18" i="1" s="1"/>
  <c r="G14" i="11"/>
  <c r="G30" i="11"/>
  <c r="H30" i="11"/>
  <c r="M12" i="8"/>
  <c r="F13" i="8"/>
  <c r="G13" i="8"/>
  <c r="H13" i="8"/>
  <c r="N13" i="8"/>
  <c r="Q13" i="8" s="1"/>
  <c r="O13" i="8"/>
  <c r="P13" i="8"/>
  <c r="M13" i="8"/>
  <c r="F14" i="8"/>
  <c r="G14" i="8"/>
  <c r="H14" i="8"/>
  <c r="N14" i="8"/>
  <c r="O14" i="8"/>
  <c r="P14" i="8"/>
  <c r="M14" i="8"/>
  <c r="Q14" i="8" s="1"/>
  <c r="F15" i="8"/>
  <c r="P15" i="8"/>
  <c r="M15" i="8"/>
  <c r="F16" i="8"/>
  <c r="G16" i="8"/>
  <c r="H16" i="8"/>
  <c r="K16" i="8"/>
  <c r="N16" i="8"/>
  <c r="O16" i="8"/>
  <c r="P16" i="8"/>
  <c r="M16" i="8"/>
  <c r="F17" i="8"/>
  <c r="G17" i="8"/>
  <c r="K17" i="8" s="1"/>
  <c r="H17" i="8"/>
  <c r="N17" i="8"/>
  <c r="Q17" i="8" s="1"/>
  <c r="O17" i="8"/>
  <c r="P17" i="8"/>
  <c r="M17" i="8"/>
  <c r="F18" i="8"/>
  <c r="G18" i="8"/>
  <c r="H18" i="8"/>
  <c r="N18" i="8"/>
  <c r="O18" i="8"/>
  <c r="P18" i="8"/>
  <c r="M18" i="8"/>
  <c r="Q18" i="8"/>
  <c r="F19" i="8"/>
  <c r="K19" i="8" s="1"/>
  <c r="G19" i="8"/>
  <c r="H19" i="8"/>
  <c r="N19" i="8"/>
  <c r="O19" i="8"/>
  <c r="P19" i="8"/>
  <c r="M19" i="8"/>
  <c r="Q19" i="8" s="1"/>
  <c r="M20" i="8"/>
  <c r="H21" i="8"/>
  <c r="N21" i="8"/>
  <c r="M21" i="8"/>
  <c r="M22" i="8"/>
  <c r="F23" i="8"/>
  <c r="K23" i="8" s="1"/>
  <c r="G23" i="8"/>
  <c r="H23" i="8"/>
  <c r="N23" i="8"/>
  <c r="O23" i="8"/>
  <c r="P23" i="8"/>
  <c r="M23" i="8"/>
  <c r="Q23" i="8" s="1"/>
  <c r="F24" i="8"/>
  <c r="G24" i="8"/>
  <c r="H24" i="8"/>
  <c r="K24" i="8"/>
  <c r="N24" i="8"/>
  <c r="O24" i="8"/>
  <c r="P24" i="8"/>
  <c r="M24" i="8"/>
  <c r="F25" i="8"/>
  <c r="G25" i="8"/>
  <c r="H25" i="8"/>
  <c r="K25" i="8" s="1"/>
  <c r="N25" i="8"/>
  <c r="Q25" i="8" s="1"/>
  <c r="O25" i="8"/>
  <c r="P25" i="8"/>
  <c r="M25" i="8"/>
  <c r="F26" i="8"/>
  <c r="G26" i="8"/>
  <c r="H26" i="8"/>
  <c r="N26" i="8"/>
  <c r="O26" i="8"/>
  <c r="P26" i="8"/>
  <c r="M26" i="8"/>
  <c r="Q26" i="8" s="1"/>
  <c r="F27" i="8"/>
  <c r="O27" i="8"/>
  <c r="P27" i="8"/>
  <c r="M27" i="8"/>
  <c r="N28" i="8"/>
  <c r="P28" i="8"/>
  <c r="M28" i="8"/>
  <c r="F29" i="8"/>
  <c r="G29" i="8"/>
  <c r="K29" i="8" s="1"/>
  <c r="X29" i="8" s="1"/>
  <c r="H29" i="8"/>
  <c r="N29" i="8"/>
  <c r="Q29" i="8" s="1"/>
  <c r="O29" i="8"/>
  <c r="P29" i="8"/>
  <c r="M29" i="8"/>
  <c r="F30" i="8"/>
  <c r="K30" i="8" s="1"/>
  <c r="X30" i="8" s="1"/>
  <c r="G30" i="8"/>
  <c r="H30" i="8"/>
  <c r="N30" i="8"/>
  <c r="O30" i="8"/>
  <c r="P30" i="8"/>
  <c r="M30" i="8"/>
  <c r="Q30" i="8"/>
  <c r="M11" i="8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H10" i="1"/>
  <c r="I10" i="1"/>
  <c r="J10" i="1"/>
  <c r="H11" i="1"/>
  <c r="K11" i="1" s="1"/>
  <c r="I11" i="1"/>
  <c r="J11" i="1"/>
  <c r="H12" i="1"/>
  <c r="I12" i="1"/>
  <c r="J12" i="1"/>
  <c r="H13" i="1"/>
  <c r="I13" i="1"/>
  <c r="J13" i="1"/>
  <c r="H14" i="1"/>
  <c r="I14" i="1"/>
  <c r="J14" i="1"/>
  <c r="S14" i="1"/>
  <c r="U14" i="1"/>
  <c r="H15" i="1"/>
  <c r="I15" i="1"/>
  <c r="J15" i="1"/>
  <c r="S15" i="1"/>
  <c r="U15" i="1" s="1"/>
  <c r="H16" i="1"/>
  <c r="I16" i="1"/>
  <c r="J16" i="1"/>
  <c r="AC17" i="1"/>
  <c r="H17" i="1"/>
  <c r="I17" i="1"/>
  <c r="J17" i="1"/>
  <c r="H18" i="1"/>
  <c r="I18" i="1"/>
  <c r="J18" i="1"/>
  <c r="H19" i="1"/>
  <c r="K19" i="1" s="1"/>
  <c r="I19" i="1"/>
  <c r="J19" i="1"/>
  <c r="H20" i="1"/>
  <c r="I20" i="1"/>
  <c r="J20" i="1"/>
  <c r="AC21" i="1"/>
  <c r="H21" i="1"/>
  <c r="I21" i="1"/>
  <c r="J21" i="1"/>
  <c r="AC22" i="1"/>
  <c r="H22" i="1"/>
  <c r="K22" i="1" s="1"/>
  <c r="I22" i="1"/>
  <c r="J22" i="1"/>
  <c r="H23" i="1"/>
  <c r="I23" i="1"/>
  <c r="J23" i="1"/>
  <c r="H24" i="1"/>
  <c r="I24" i="1"/>
  <c r="J24" i="1"/>
  <c r="H25" i="1"/>
  <c r="I25" i="1"/>
  <c r="J25" i="1"/>
  <c r="AC26" i="1"/>
  <c r="H26" i="1"/>
  <c r="I26" i="1"/>
  <c r="J26" i="1"/>
  <c r="H27" i="1"/>
  <c r="I27" i="1"/>
  <c r="J27" i="1"/>
  <c r="K27" i="1"/>
  <c r="H28" i="1"/>
  <c r="I28" i="1"/>
  <c r="J28" i="1"/>
  <c r="H29" i="1"/>
  <c r="I29" i="1"/>
  <c r="J29" i="1"/>
  <c r="R29" i="1"/>
  <c r="U29" i="1" s="1"/>
  <c r="H30" i="1"/>
  <c r="I30" i="1"/>
  <c r="J30" i="1"/>
  <c r="R30" i="1"/>
  <c r="U30" i="1"/>
  <c r="H31" i="1"/>
  <c r="I31" i="1"/>
  <c r="J31" i="1"/>
  <c r="H32" i="1"/>
  <c r="I32" i="1"/>
  <c r="J32" i="1"/>
  <c r="H33" i="1"/>
  <c r="I33" i="1"/>
  <c r="J33" i="1"/>
  <c r="H34" i="1"/>
  <c r="I34" i="1"/>
  <c r="J34" i="1"/>
  <c r="S34" i="1"/>
  <c r="H35" i="1"/>
  <c r="K35" i="1" s="1"/>
  <c r="I35" i="1"/>
  <c r="J35" i="1"/>
  <c r="H36" i="1"/>
  <c r="K36" i="1" s="1"/>
  <c r="I36" i="1"/>
  <c r="J36" i="1"/>
  <c r="H37" i="1"/>
  <c r="I37" i="1"/>
  <c r="J37" i="1"/>
  <c r="S37" i="1"/>
  <c r="H38" i="1"/>
  <c r="I38" i="1"/>
  <c r="J38" i="1"/>
  <c r="S38" i="1"/>
  <c r="U38" i="1" s="1"/>
  <c r="H39" i="1"/>
  <c r="I39" i="1"/>
  <c r="J39" i="1"/>
  <c r="H40" i="1"/>
  <c r="I40" i="1"/>
  <c r="J40" i="1"/>
  <c r="H41" i="1"/>
  <c r="I41" i="1"/>
  <c r="J41" i="1"/>
  <c r="S41" i="1"/>
  <c r="H42" i="1"/>
  <c r="I42" i="1"/>
  <c r="J42" i="1"/>
  <c r="H43" i="1"/>
  <c r="K43" i="1" s="1"/>
  <c r="I43" i="1"/>
  <c r="J43" i="1"/>
  <c r="H44" i="1"/>
  <c r="I44" i="1"/>
  <c r="J44" i="1"/>
  <c r="H45" i="1"/>
  <c r="I45" i="1"/>
  <c r="J45" i="1"/>
  <c r="S45" i="1"/>
  <c r="U45" i="1" s="1"/>
  <c r="H46" i="1"/>
  <c r="I46" i="1"/>
  <c r="J46" i="1"/>
  <c r="S46" i="1"/>
  <c r="U46" i="1"/>
  <c r="H47" i="1"/>
  <c r="I47" i="1"/>
  <c r="J47" i="1"/>
  <c r="H48" i="1"/>
  <c r="I48" i="1"/>
  <c r="J48" i="1"/>
  <c r="X49" i="1"/>
  <c r="AC49" i="1" s="1"/>
  <c r="Y49" i="1"/>
  <c r="H49" i="1"/>
  <c r="I49" i="1"/>
  <c r="J49" i="1"/>
  <c r="H50" i="1"/>
  <c r="I50" i="1"/>
  <c r="J50" i="1"/>
  <c r="H51" i="1"/>
  <c r="I51" i="1"/>
  <c r="J51" i="1"/>
  <c r="K51" i="1"/>
  <c r="R51" i="1"/>
  <c r="H52" i="1"/>
  <c r="I52" i="1"/>
  <c r="J52" i="1"/>
  <c r="H53" i="1"/>
  <c r="I53" i="1"/>
  <c r="J53" i="1"/>
  <c r="R53" i="1"/>
  <c r="U53" i="1" s="1"/>
  <c r="S53" i="1"/>
  <c r="H54" i="1"/>
  <c r="I54" i="1"/>
  <c r="J54" i="1"/>
  <c r="R54" i="1"/>
  <c r="S54" i="1"/>
  <c r="U54" i="1"/>
  <c r="H55" i="1"/>
  <c r="I55" i="1"/>
  <c r="J55" i="1"/>
  <c r="S55" i="1"/>
  <c r="H56" i="1"/>
  <c r="I56" i="1"/>
  <c r="J56" i="1"/>
  <c r="H57" i="1"/>
  <c r="I57" i="1"/>
  <c r="J57" i="1"/>
  <c r="X58" i="1"/>
  <c r="AC58" i="1" s="1"/>
  <c r="Y58" i="1"/>
  <c r="H58" i="1"/>
  <c r="I58" i="1"/>
  <c r="J58" i="1"/>
  <c r="A13" i="6"/>
  <c r="A14" i="6"/>
  <c r="A15" i="6"/>
  <c r="A16" i="6" s="1"/>
  <c r="A17" i="6" s="1"/>
  <c r="A18" i="6" s="1"/>
  <c r="A19" i="6" s="1"/>
  <c r="A20" i="6" s="1"/>
  <c r="A12" i="6"/>
  <c r="D12" i="5"/>
  <c r="E12" i="5"/>
  <c r="AF12" i="5" s="1"/>
  <c r="AB12" i="5"/>
  <c r="AC12" i="5"/>
  <c r="N14" i="5"/>
  <c r="O16" i="5"/>
  <c r="O18" i="5"/>
  <c r="P18" i="5"/>
  <c r="N20" i="5"/>
  <c r="O20" i="5"/>
  <c r="P20" i="5"/>
  <c r="Q20" i="5"/>
  <c r="O22" i="5"/>
  <c r="O24" i="5"/>
  <c r="P28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12" i="5"/>
  <c r="S12" i="5"/>
  <c r="V12" i="5" s="1"/>
  <c r="Y12" i="5" s="1"/>
  <c r="T12" i="5"/>
  <c r="U12" i="5"/>
  <c r="D11" i="5"/>
  <c r="E11" i="5"/>
  <c r="N11" i="5"/>
  <c r="P11" i="5"/>
  <c r="AF11" i="5"/>
  <c r="AG11" i="5"/>
  <c r="S11" i="5"/>
  <c r="T11" i="5"/>
  <c r="U11" i="5"/>
  <c r="H9" i="1"/>
  <c r="I9" i="1"/>
  <c r="J9" i="1"/>
  <c r="X9" i="1"/>
  <c r="AC9" i="1" s="1"/>
  <c r="Y9" i="1"/>
  <c r="O11" i="8"/>
  <c r="P11" i="8"/>
  <c r="F11" i="8"/>
  <c r="G11" i="8"/>
  <c r="D12" i="15"/>
  <c r="E12" i="15"/>
  <c r="F12" i="15"/>
  <c r="AA30" i="15"/>
  <c r="Z30" i="15"/>
  <c r="Y30" i="15"/>
  <c r="AA29" i="15"/>
  <c r="Z29" i="15"/>
  <c r="Y29" i="15"/>
  <c r="AA28" i="15"/>
  <c r="Z28" i="15"/>
  <c r="Y28" i="15"/>
  <c r="AA27" i="15"/>
  <c r="Z27" i="15"/>
  <c r="Y27" i="15"/>
  <c r="AA26" i="15"/>
  <c r="Z26" i="15"/>
  <c r="Y26" i="15"/>
  <c r="AA25" i="15"/>
  <c r="Z25" i="15"/>
  <c r="Y25" i="15"/>
  <c r="AA24" i="15"/>
  <c r="Z24" i="15"/>
  <c r="Y24" i="15"/>
  <c r="AA23" i="15"/>
  <c r="Z23" i="15"/>
  <c r="Y23" i="15"/>
  <c r="AA22" i="15"/>
  <c r="Z22" i="15"/>
  <c r="Y22" i="15"/>
  <c r="AA21" i="15"/>
  <c r="Z21" i="15"/>
  <c r="Y21" i="15"/>
  <c r="AA20" i="15"/>
  <c r="Z20" i="15"/>
  <c r="Y20" i="15"/>
  <c r="AA19" i="15"/>
  <c r="Z19" i="15"/>
  <c r="Y19" i="15"/>
  <c r="AA18" i="15"/>
  <c r="Z18" i="15"/>
  <c r="Y18" i="15"/>
  <c r="AA17" i="15"/>
  <c r="Z17" i="15"/>
  <c r="Y17" i="15"/>
  <c r="AA16" i="15"/>
  <c r="Z16" i="15"/>
  <c r="Y16" i="15"/>
  <c r="AA15" i="15"/>
  <c r="Z15" i="15"/>
  <c r="Y15" i="15"/>
  <c r="AA14" i="15"/>
  <c r="Z14" i="15"/>
  <c r="Y14" i="15"/>
  <c r="R30" i="15"/>
  <c r="Q30" i="15"/>
  <c r="P30" i="15"/>
  <c r="O30" i="15"/>
  <c r="R29" i="15"/>
  <c r="Q29" i="15"/>
  <c r="P29" i="15"/>
  <c r="O29" i="15"/>
  <c r="R28" i="15"/>
  <c r="Q28" i="15"/>
  <c r="P28" i="15"/>
  <c r="O28" i="15"/>
  <c r="R27" i="15"/>
  <c r="Q27" i="15"/>
  <c r="P27" i="15"/>
  <c r="O27" i="15"/>
  <c r="R26" i="15"/>
  <c r="Q26" i="15"/>
  <c r="P26" i="15"/>
  <c r="O26" i="15"/>
  <c r="R25" i="15"/>
  <c r="Q25" i="15"/>
  <c r="P25" i="15"/>
  <c r="O25" i="15"/>
  <c r="R24" i="15"/>
  <c r="Q24" i="15"/>
  <c r="P24" i="15"/>
  <c r="O24" i="15"/>
  <c r="R23" i="15"/>
  <c r="Q23" i="15"/>
  <c r="P23" i="15"/>
  <c r="O23" i="15"/>
  <c r="R22" i="15"/>
  <c r="Q22" i="15"/>
  <c r="P22" i="15"/>
  <c r="O22" i="15"/>
  <c r="R21" i="15"/>
  <c r="Q21" i="15"/>
  <c r="P21" i="15"/>
  <c r="O21" i="15"/>
  <c r="R20" i="15"/>
  <c r="Q20" i="15"/>
  <c r="P20" i="15"/>
  <c r="O20" i="15"/>
  <c r="R19" i="15"/>
  <c r="Q19" i="15"/>
  <c r="P19" i="15"/>
  <c r="O19" i="15"/>
  <c r="R18" i="15"/>
  <c r="Q18" i="15"/>
  <c r="P18" i="15"/>
  <c r="O18" i="15"/>
  <c r="R17" i="15"/>
  <c r="Q17" i="15"/>
  <c r="P17" i="15"/>
  <c r="O17" i="15"/>
  <c r="R16" i="15"/>
  <c r="Q16" i="15"/>
  <c r="P16" i="15"/>
  <c r="O16" i="15"/>
  <c r="R15" i="15"/>
  <c r="Q15" i="15"/>
  <c r="P15" i="15"/>
  <c r="O15" i="15"/>
  <c r="R14" i="15"/>
  <c r="Q14" i="15"/>
  <c r="P14" i="15"/>
  <c r="O14" i="15"/>
  <c r="R13" i="15"/>
  <c r="Q13" i="15"/>
  <c r="P13" i="15"/>
  <c r="O13" i="15"/>
  <c r="R12" i="15"/>
  <c r="Q12" i="15"/>
  <c r="P12" i="15"/>
  <c r="O12" i="15"/>
  <c r="R11" i="15"/>
  <c r="Q11" i="15"/>
  <c r="P11" i="15"/>
  <c r="O11" i="15"/>
  <c r="D30" i="15"/>
  <c r="E30" i="15"/>
  <c r="F30" i="15"/>
  <c r="J27" i="15"/>
  <c r="D26" i="15"/>
  <c r="E26" i="15"/>
  <c r="F26" i="15"/>
  <c r="J24" i="15"/>
  <c r="K19" i="15"/>
  <c r="J19" i="15"/>
  <c r="J18" i="15"/>
  <c r="K13" i="15"/>
  <c r="J13" i="15"/>
  <c r="K12" i="15"/>
  <c r="J12" i="15"/>
  <c r="D29" i="15"/>
  <c r="E29" i="15"/>
  <c r="K29" i="15" s="1"/>
  <c r="F29" i="15"/>
  <c r="D28" i="15"/>
  <c r="E28" i="15"/>
  <c r="F28" i="15"/>
  <c r="D27" i="15"/>
  <c r="E27" i="15"/>
  <c r="K27" i="15" s="1"/>
  <c r="F27" i="15"/>
  <c r="D25" i="15"/>
  <c r="E25" i="15"/>
  <c r="F25" i="15"/>
  <c r="D24" i="15"/>
  <c r="E24" i="15"/>
  <c r="F24" i="15"/>
  <c r="D23" i="15"/>
  <c r="E23" i="15"/>
  <c r="F23" i="15"/>
  <c r="K23" i="15" s="1"/>
  <c r="D22" i="15"/>
  <c r="E22" i="15"/>
  <c r="F22" i="15"/>
  <c r="D21" i="15"/>
  <c r="U21" i="15" s="1"/>
  <c r="E21" i="15"/>
  <c r="F21" i="15"/>
  <c r="D20" i="15"/>
  <c r="E20" i="15"/>
  <c r="F20" i="15"/>
  <c r="D19" i="15"/>
  <c r="E19" i="15"/>
  <c r="F19" i="15"/>
  <c r="D18" i="15"/>
  <c r="E18" i="15"/>
  <c r="F18" i="15"/>
  <c r="D17" i="15"/>
  <c r="E17" i="15"/>
  <c r="F17" i="15"/>
  <c r="D16" i="15"/>
  <c r="E16" i="15"/>
  <c r="F16" i="15"/>
  <c r="D15" i="15"/>
  <c r="E15" i="15"/>
  <c r="F15" i="15"/>
  <c r="J15" i="15" s="1"/>
  <c r="D14" i="15"/>
  <c r="E14" i="15"/>
  <c r="F14" i="15"/>
  <c r="D13" i="15"/>
  <c r="E13" i="15"/>
  <c r="F13" i="15"/>
  <c r="F11" i="15"/>
  <c r="E11" i="15"/>
  <c r="I11" i="15" s="1"/>
  <c r="D11" i="15"/>
  <c r="D11" i="13"/>
  <c r="E11" i="13"/>
  <c r="F11" i="13"/>
  <c r="G11" i="13" s="1"/>
  <c r="K11" i="13"/>
  <c r="D30" i="13"/>
  <c r="I30" i="13" s="1"/>
  <c r="E30" i="13"/>
  <c r="F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F21" i="13"/>
  <c r="E21" i="13"/>
  <c r="D21" i="13"/>
  <c r="F20" i="13"/>
  <c r="I20" i="13" s="1"/>
  <c r="E20" i="13"/>
  <c r="D20" i="13"/>
  <c r="F19" i="13"/>
  <c r="E19" i="13"/>
  <c r="D19" i="13"/>
  <c r="F18" i="13"/>
  <c r="E18" i="13"/>
  <c r="D18" i="13"/>
  <c r="F17" i="13"/>
  <c r="E17" i="13"/>
  <c r="D17" i="13"/>
  <c r="F16" i="13"/>
  <c r="E16" i="13"/>
  <c r="D16" i="13"/>
  <c r="F15" i="13"/>
  <c r="E15" i="13"/>
  <c r="D15" i="13"/>
  <c r="F14" i="13"/>
  <c r="E14" i="13"/>
  <c r="D14" i="13"/>
  <c r="F13" i="13"/>
  <c r="E13" i="13"/>
  <c r="D13" i="13"/>
  <c r="F12" i="13"/>
  <c r="E12" i="13"/>
  <c r="D12" i="13"/>
  <c r="L30" i="11"/>
  <c r="M30" i="11"/>
  <c r="L29" i="11"/>
  <c r="M29" i="11"/>
  <c r="L28" i="11"/>
  <c r="M28" i="11"/>
  <c r="L27" i="11"/>
  <c r="M27" i="11"/>
  <c r="L26" i="11"/>
  <c r="M26" i="11"/>
  <c r="L25" i="11"/>
  <c r="M25" i="11"/>
  <c r="L24" i="11"/>
  <c r="M24" i="11"/>
  <c r="L23" i="11"/>
  <c r="M23" i="11"/>
  <c r="L22" i="11"/>
  <c r="M22" i="11"/>
  <c r="L21" i="11"/>
  <c r="M21" i="11"/>
  <c r="L20" i="11"/>
  <c r="M20" i="11"/>
  <c r="L19" i="11"/>
  <c r="M19" i="11"/>
  <c r="L18" i="11"/>
  <c r="M18" i="11"/>
  <c r="L17" i="11"/>
  <c r="M17" i="11"/>
  <c r="L16" i="11"/>
  <c r="M16" i="11"/>
  <c r="L15" i="11"/>
  <c r="M15" i="11"/>
  <c r="L14" i="11"/>
  <c r="M14" i="11"/>
  <c r="L13" i="11"/>
  <c r="M13" i="11"/>
  <c r="L12" i="11"/>
  <c r="M12" i="11"/>
  <c r="D30" i="11"/>
  <c r="E30" i="11"/>
  <c r="D29" i="11"/>
  <c r="E29" i="11"/>
  <c r="J29" i="11" s="1"/>
  <c r="D28" i="11"/>
  <c r="E28" i="11"/>
  <c r="D27" i="11"/>
  <c r="H27" i="11" s="1"/>
  <c r="E27" i="11"/>
  <c r="J27" i="11"/>
  <c r="I27" i="11"/>
  <c r="D26" i="11"/>
  <c r="E26" i="11"/>
  <c r="D25" i="11"/>
  <c r="J25" i="11" s="1"/>
  <c r="E25" i="11"/>
  <c r="I25" i="11"/>
  <c r="D24" i="11"/>
  <c r="J24" i="11" s="1"/>
  <c r="E24" i="11"/>
  <c r="D23" i="11"/>
  <c r="E23" i="11"/>
  <c r="D22" i="11"/>
  <c r="E22" i="11"/>
  <c r="J22" i="11"/>
  <c r="D21" i="11"/>
  <c r="G21" i="11" s="1"/>
  <c r="E21" i="11"/>
  <c r="D20" i="11"/>
  <c r="E20" i="11"/>
  <c r="J20" i="11" s="1"/>
  <c r="D19" i="11"/>
  <c r="E19" i="11"/>
  <c r="D18" i="11"/>
  <c r="E18" i="11"/>
  <c r="J18" i="11"/>
  <c r="D17" i="11"/>
  <c r="E17" i="11"/>
  <c r="D16" i="11"/>
  <c r="J16" i="11" s="1"/>
  <c r="E16" i="11"/>
  <c r="D15" i="11"/>
  <c r="E15" i="11"/>
  <c r="J15" i="11"/>
  <c r="D14" i="11"/>
  <c r="E14" i="11"/>
  <c r="D13" i="11"/>
  <c r="E13" i="11"/>
  <c r="J13" i="11"/>
  <c r="I13" i="11"/>
  <c r="D12" i="11"/>
  <c r="E12" i="11"/>
  <c r="J11" i="11"/>
  <c r="I11" i="11"/>
  <c r="I11" i="6"/>
  <c r="F11" i="6"/>
  <c r="J11" i="6"/>
  <c r="G11" i="6"/>
  <c r="H11" i="6"/>
  <c r="O11" i="6"/>
  <c r="D11" i="6"/>
  <c r="AF26" i="5"/>
  <c r="AG25" i="5"/>
  <c r="AF24" i="5"/>
  <c r="AF20" i="5"/>
  <c r="AG19" i="5"/>
  <c r="AF16" i="5"/>
  <c r="AG15" i="5"/>
  <c r="AC30" i="5"/>
  <c r="AB30" i="5"/>
  <c r="AE30" i="5" s="1"/>
  <c r="AC29" i="5"/>
  <c r="AB29" i="5"/>
  <c r="AE29" i="5" s="1"/>
  <c r="AC28" i="5"/>
  <c r="AB28" i="5"/>
  <c r="AE28" i="5" s="1"/>
  <c r="AC27" i="5"/>
  <c r="AB27" i="5"/>
  <c r="AE27" i="5" s="1"/>
  <c r="AC25" i="5"/>
  <c r="AB25" i="5"/>
  <c r="AE25" i="5" s="1"/>
  <c r="AC24" i="5"/>
  <c r="AB24" i="5"/>
  <c r="AE24" i="5" s="1"/>
  <c r="AC23" i="5"/>
  <c r="AB23" i="5"/>
  <c r="AE23" i="5" s="1"/>
  <c r="AC22" i="5"/>
  <c r="AB22" i="5"/>
  <c r="AE22" i="5" s="1"/>
  <c r="AC21" i="5"/>
  <c r="AB21" i="5"/>
  <c r="AE21" i="5" s="1"/>
  <c r="AC20" i="5"/>
  <c r="AB20" i="5"/>
  <c r="AE20" i="5" s="1"/>
  <c r="AC19" i="5"/>
  <c r="AB19" i="5"/>
  <c r="AE19" i="5" s="1"/>
  <c r="AC18" i="5"/>
  <c r="AB18" i="5"/>
  <c r="AE18" i="5" s="1"/>
  <c r="AC17" i="5"/>
  <c r="AB17" i="5"/>
  <c r="AE17" i="5" s="1"/>
  <c r="AC16" i="5"/>
  <c r="AB16" i="5"/>
  <c r="AE16" i="5" s="1"/>
  <c r="AC15" i="5"/>
  <c r="AB15" i="5"/>
  <c r="AE15" i="5" s="1"/>
  <c r="AC14" i="5"/>
  <c r="AB14" i="5"/>
  <c r="AE14" i="5" s="1"/>
  <c r="AC13" i="5"/>
  <c r="AB13" i="5"/>
  <c r="AE13" i="5" s="1"/>
  <c r="W30" i="5"/>
  <c r="S30" i="5"/>
  <c r="V30" i="5" s="1"/>
  <c r="Y30" i="5" s="1"/>
  <c r="T30" i="5"/>
  <c r="U30" i="5"/>
  <c r="W29" i="5"/>
  <c r="W28" i="5"/>
  <c r="W27" i="5"/>
  <c r="W26" i="5"/>
  <c r="W25" i="5"/>
  <c r="W24" i="5"/>
  <c r="W23" i="5"/>
  <c r="Y23" i="5"/>
  <c r="Z23" i="5"/>
  <c r="W22" i="5"/>
  <c r="W21" i="5"/>
  <c r="W20" i="5"/>
  <c r="Z20" i="5" s="1"/>
  <c r="W19" i="5"/>
  <c r="W18" i="5"/>
  <c r="W17" i="5"/>
  <c r="W16" i="5"/>
  <c r="W15" i="5"/>
  <c r="Y15" i="5"/>
  <c r="Z15" i="5"/>
  <c r="W14" i="5"/>
  <c r="Y14" i="5"/>
  <c r="W13" i="5"/>
  <c r="W12" i="5"/>
  <c r="V25" i="5"/>
  <c r="Y25" i="5" s="1"/>
  <c r="V19" i="5"/>
  <c r="Y19" i="5" s="1"/>
  <c r="V17" i="5"/>
  <c r="Y17" i="5" s="1"/>
  <c r="V16" i="5"/>
  <c r="Y16" i="5" s="1"/>
  <c r="W11" i="5"/>
  <c r="U29" i="5"/>
  <c r="U28" i="5"/>
  <c r="U27" i="5"/>
  <c r="U26" i="5"/>
  <c r="U25" i="5"/>
  <c r="U24" i="5"/>
  <c r="V24" i="5" s="1"/>
  <c r="Y24" i="5" s="1"/>
  <c r="Z24" i="5" s="1"/>
  <c r="U23" i="5"/>
  <c r="U22" i="5"/>
  <c r="U21" i="5"/>
  <c r="U20" i="5"/>
  <c r="U19" i="5"/>
  <c r="U18" i="5"/>
  <c r="U17" i="5"/>
  <c r="U16" i="5"/>
  <c r="U15" i="5"/>
  <c r="U14" i="5"/>
  <c r="U13" i="5"/>
  <c r="T29" i="5"/>
  <c r="T28" i="5"/>
  <c r="T27" i="5"/>
  <c r="V27" i="5" s="1"/>
  <c r="Y27" i="5" s="1"/>
  <c r="T26" i="5"/>
  <c r="T25" i="5"/>
  <c r="T24" i="5"/>
  <c r="T23" i="5"/>
  <c r="T22" i="5"/>
  <c r="V22" i="5" s="1"/>
  <c r="Y22" i="5" s="1"/>
  <c r="T21" i="5"/>
  <c r="T20" i="5"/>
  <c r="T19" i="5"/>
  <c r="T18" i="5"/>
  <c r="T17" i="5"/>
  <c r="T16" i="5"/>
  <c r="T15" i="5"/>
  <c r="T14" i="5"/>
  <c r="V14" i="5" s="1"/>
  <c r="T13" i="5"/>
  <c r="S29" i="5"/>
  <c r="V29" i="5" s="1"/>
  <c r="Y29" i="5" s="1"/>
  <c r="S28" i="5"/>
  <c r="V28" i="5" s="1"/>
  <c r="Y28" i="5" s="1"/>
  <c r="S27" i="5"/>
  <c r="S26" i="5"/>
  <c r="S25" i="5"/>
  <c r="S24" i="5"/>
  <c r="S23" i="5"/>
  <c r="V23" i="5" s="1"/>
  <c r="S22" i="5"/>
  <c r="S21" i="5"/>
  <c r="V21" i="5" s="1"/>
  <c r="Y21" i="5" s="1"/>
  <c r="S20" i="5"/>
  <c r="V20" i="5" s="1"/>
  <c r="Y20" i="5" s="1"/>
  <c r="S19" i="5"/>
  <c r="S18" i="5"/>
  <c r="S17" i="5"/>
  <c r="S16" i="5"/>
  <c r="S15" i="5"/>
  <c r="V15" i="5" s="1"/>
  <c r="S14" i="5"/>
  <c r="S13" i="5"/>
  <c r="V13" i="5" s="1"/>
  <c r="Y13" i="5" s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U37" i="1" s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10" i="1"/>
  <c r="P10" i="1"/>
  <c r="O10" i="1"/>
  <c r="Q9" i="1"/>
  <c r="P9" i="1"/>
  <c r="O9" i="1"/>
  <c r="D30" i="5"/>
  <c r="E30" i="5"/>
  <c r="AF30" i="5" s="1"/>
  <c r="D29" i="5"/>
  <c r="O29" i="5" s="1"/>
  <c r="E29" i="5"/>
  <c r="D28" i="5"/>
  <c r="AG28" i="5" s="1"/>
  <c r="E28" i="5"/>
  <c r="D27" i="5"/>
  <c r="E27" i="5"/>
  <c r="N27" i="5" s="1"/>
  <c r="D26" i="5"/>
  <c r="E26" i="5"/>
  <c r="P26" i="5" s="1"/>
  <c r="D25" i="5"/>
  <c r="AF25" i="5" s="1"/>
  <c r="E25" i="5"/>
  <c r="D24" i="5"/>
  <c r="E24" i="5"/>
  <c r="D23" i="5"/>
  <c r="E23" i="5"/>
  <c r="N23" i="5" s="1"/>
  <c r="D22" i="5"/>
  <c r="E22" i="5"/>
  <c r="D21" i="5"/>
  <c r="AF21" i="5" s="1"/>
  <c r="E21" i="5"/>
  <c r="D20" i="5"/>
  <c r="AG20" i="5" s="1"/>
  <c r="E20" i="5"/>
  <c r="D19" i="5"/>
  <c r="E19" i="5"/>
  <c r="D18" i="5"/>
  <c r="E18" i="5"/>
  <c r="D17" i="5"/>
  <c r="E17" i="5"/>
  <c r="D16" i="5"/>
  <c r="E16" i="5"/>
  <c r="D15" i="5"/>
  <c r="E15" i="5"/>
  <c r="AF15" i="5" s="1"/>
  <c r="D14" i="5"/>
  <c r="E14" i="5"/>
  <c r="O14" i="5" s="1"/>
  <c r="D13" i="5"/>
  <c r="E13" i="5"/>
  <c r="H30" i="5"/>
  <c r="J30" i="5"/>
  <c r="G30" i="5"/>
  <c r="I30" i="5"/>
  <c r="H29" i="5"/>
  <c r="J29" i="5"/>
  <c r="G29" i="5"/>
  <c r="I29" i="5"/>
  <c r="H28" i="5"/>
  <c r="J28" i="5"/>
  <c r="L28" i="5"/>
  <c r="G28" i="5"/>
  <c r="K28" i="5" s="1"/>
  <c r="I28" i="5"/>
  <c r="H27" i="5"/>
  <c r="J27" i="5"/>
  <c r="L27" i="5" s="1"/>
  <c r="G27" i="5"/>
  <c r="I27" i="5"/>
  <c r="H26" i="5"/>
  <c r="J26" i="5"/>
  <c r="G26" i="5"/>
  <c r="K26" i="5" s="1"/>
  <c r="I26" i="5"/>
  <c r="H25" i="5"/>
  <c r="J25" i="5"/>
  <c r="G25" i="5"/>
  <c r="I25" i="5"/>
  <c r="H24" i="5"/>
  <c r="L24" i="5" s="1"/>
  <c r="J24" i="5"/>
  <c r="G24" i="5"/>
  <c r="K24" i="5" s="1"/>
  <c r="I24" i="5"/>
  <c r="H23" i="5"/>
  <c r="J23" i="5"/>
  <c r="L23" i="5"/>
  <c r="G23" i="5"/>
  <c r="I23" i="5"/>
  <c r="H22" i="5"/>
  <c r="J22" i="5"/>
  <c r="G22" i="5"/>
  <c r="I22" i="5"/>
  <c r="H21" i="5"/>
  <c r="J21" i="5"/>
  <c r="G21" i="5"/>
  <c r="I21" i="5"/>
  <c r="H20" i="5"/>
  <c r="J20" i="5"/>
  <c r="L20" i="5"/>
  <c r="G20" i="5"/>
  <c r="K20" i="5" s="1"/>
  <c r="I20" i="5"/>
  <c r="H19" i="5"/>
  <c r="J19" i="5"/>
  <c r="L19" i="5" s="1"/>
  <c r="G19" i="5"/>
  <c r="I19" i="5"/>
  <c r="H18" i="5"/>
  <c r="J18" i="5"/>
  <c r="G18" i="5"/>
  <c r="K18" i="5" s="1"/>
  <c r="I18" i="5"/>
  <c r="H17" i="5"/>
  <c r="J17" i="5"/>
  <c r="G17" i="5"/>
  <c r="I17" i="5"/>
  <c r="H16" i="5"/>
  <c r="L16" i="5" s="1"/>
  <c r="J16" i="5"/>
  <c r="G16" i="5"/>
  <c r="K16" i="5" s="1"/>
  <c r="I16" i="5"/>
  <c r="H15" i="5"/>
  <c r="J15" i="5"/>
  <c r="L15" i="5"/>
  <c r="G15" i="5"/>
  <c r="I15" i="5"/>
  <c r="H14" i="5"/>
  <c r="J14" i="5"/>
  <c r="G14" i="5"/>
  <c r="I14" i="5"/>
  <c r="H13" i="5"/>
  <c r="J13" i="5"/>
  <c r="G13" i="5"/>
  <c r="I13" i="5"/>
  <c r="H12" i="5"/>
  <c r="J12" i="5"/>
  <c r="G12" i="5"/>
  <c r="I12" i="5"/>
  <c r="H11" i="5"/>
  <c r="J11" i="5"/>
  <c r="L11" i="5" s="1"/>
  <c r="G11" i="5"/>
  <c r="I11" i="5"/>
  <c r="N9" i="1"/>
  <c r="R9" i="1" s="1"/>
  <c r="N10" i="1"/>
  <c r="S10" i="1" s="1"/>
  <c r="E9" i="1"/>
  <c r="F9" i="1"/>
  <c r="G9" i="1"/>
  <c r="X57" i="1"/>
  <c r="AC57" i="1" s="1"/>
  <c r="Y57" i="1"/>
  <c r="X56" i="1"/>
  <c r="Y56" i="1"/>
  <c r="X55" i="1"/>
  <c r="Y55" i="1"/>
  <c r="X54" i="1"/>
  <c r="AC54" i="1" s="1"/>
  <c r="Y54" i="1"/>
  <c r="X53" i="1"/>
  <c r="Y53" i="1"/>
  <c r="X52" i="1"/>
  <c r="Y52" i="1"/>
  <c r="X51" i="1"/>
  <c r="AC51" i="1" s="1"/>
  <c r="Y51" i="1"/>
  <c r="X50" i="1"/>
  <c r="AC50" i="1" s="1"/>
  <c r="Y50" i="1"/>
  <c r="X48" i="1"/>
  <c r="AC48" i="1" s="1"/>
  <c r="Y48" i="1"/>
  <c r="X47" i="1"/>
  <c r="Y47" i="1"/>
  <c r="X46" i="1"/>
  <c r="Y46" i="1"/>
  <c r="X45" i="1"/>
  <c r="AC45" i="1" s="1"/>
  <c r="Y45" i="1"/>
  <c r="X44" i="1"/>
  <c r="AC44" i="1" s="1"/>
  <c r="Y44" i="1"/>
  <c r="X43" i="1"/>
  <c r="Y43" i="1"/>
  <c r="X42" i="1"/>
  <c r="Y42" i="1"/>
  <c r="X41" i="1"/>
  <c r="AC41" i="1" s="1"/>
  <c r="Y41" i="1"/>
  <c r="X40" i="1"/>
  <c r="AC40" i="1" s="1"/>
  <c r="Y40" i="1"/>
  <c r="X39" i="1"/>
  <c r="Y39" i="1"/>
  <c r="X38" i="1"/>
  <c r="Y38" i="1"/>
  <c r="X37" i="1"/>
  <c r="AC37" i="1" s="1"/>
  <c r="Y37" i="1"/>
  <c r="X36" i="1"/>
  <c r="AC36" i="1" s="1"/>
  <c r="Y36" i="1"/>
  <c r="X35" i="1"/>
  <c r="Y35" i="1"/>
  <c r="X34" i="1"/>
  <c r="Y34" i="1"/>
  <c r="X33" i="1"/>
  <c r="AC33" i="1" s="1"/>
  <c r="Y33" i="1"/>
  <c r="X32" i="1"/>
  <c r="AC32" i="1" s="1"/>
  <c r="Y32" i="1"/>
  <c r="X31" i="1"/>
  <c r="Y31" i="1"/>
  <c r="X30" i="1"/>
  <c r="Y30" i="1"/>
  <c r="X29" i="1"/>
  <c r="AC29" i="1" s="1"/>
  <c r="Y29" i="1"/>
  <c r="X28" i="1"/>
  <c r="AC28" i="1" s="1"/>
  <c r="Y28" i="1"/>
  <c r="X26" i="1"/>
  <c r="Y26" i="1"/>
  <c r="X25" i="1"/>
  <c r="AC25" i="1" s="1"/>
  <c r="Y25" i="1"/>
  <c r="X24" i="1"/>
  <c r="AC24" i="1" s="1"/>
  <c r="Y24" i="1"/>
  <c r="X23" i="1"/>
  <c r="AC23" i="1" s="1"/>
  <c r="Y23" i="1"/>
  <c r="X22" i="1"/>
  <c r="Y22" i="1"/>
  <c r="X21" i="1"/>
  <c r="Y21" i="1"/>
  <c r="X20" i="1"/>
  <c r="AC20" i="1" s="1"/>
  <c r="Y20" i="1"/>
  <c r="X19" i="1"/>
  <c r="AC19" i="1" s="1"/>
  <c r="Y19" i="1"/>
  <c r="X18" i="1"/>
  <c r="Y18" i="1"/>
  <c r="X17" i="1"/>
  <c r="Y17" i="1"/>
  <c r="X16" i="1"/>
  <c r="AC16" i="1" s="1"/>
  <c r="Y16" i="1"/>
  <c r="X15" i="1"/>
  <c r="AC15" i="1" s="1"/>
  <c r="Y15" i="1"/>
  <c r="X14" i="1"/>
  <c r="Y14" i="1"/>
  <c r="X13" i="1"/>
  <c r="Y13" i="1"/>
  <c r="X12" i="1"/>
  <c r="AC12" i="1" s="1"/>
  <c r="Y12" i="1"/>
  <c r="X11" i="1"/>
  <c r="AC11" i="1" s="1"/>
  <c r="Y11" i="1"/>
  <c r="X10" i="1"/>
  <c r="Y10" i="1"/>
  <c r="N11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U41" i="1" s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N16" i="1"/>
  <c r="T16" i="1"/>
  <c r="T15" i="1"/>
  <c r="T14" i="1"/>
  <c r="T13" i="1"/>
  <c r="T12" i="1"/>
  <c r="T11" i="1"/>
  <c r="T10" i="1"/>
  <c r="T9" i="1"/>
  <c r="N58" i="1"/>
  <c r="N57" i="1"/>
  <c r="N56" i="1"/>
  <c r="R56" i="1" s="1"/>
  <c r="N55" i="1"/>
  <c r="R55" i="1" s="1"/>
  <c r="U55" i="1" s="1"/>
  <c r="N54" i="1"/>
  <c r="N53" i="1"/>
  <c r="N52" i="1"/>
  <c r="R52" i="1" s="1"/>
  <c r="N51" i="1"/>
  <c r="S51" i="1" s="1"/>
  <c r="N50" i="1"/>
  <c r="N49" i="1"/>
  <c r="N48" i="1"/>
  <c r="R48" i="1" s="1"/>
  <c r="N47" i="1"/>
  <c r="R47" i="1" s="1"/>
  <c r="N46" i="1"/>
  <c r="R46" i="1" s="1"/>
  <c r="N45" i="1"/>
  <c r="R45" i="1" s="1"/>
  <c r="N44" i="1"/>
  <c r="N43" i="1"/>
  <c r="N42" i="1"/>
  <c r="R42" i="1" s="1"/>
  <c r="N41" i="1"/>
  <c r="R41" i="1" s="1"/>
  <c r="N40" i="1"/>
  <c r="R40" i="1" s="1"/>
  <c r="N39" i="1"/>
  <c r="R39" i="1" s="1"/>
  <c r="N38" i="1"/>
  <c r="R38" i="1" s="1"/>
  <c r="N37" i="1"/>
  <c r="R37" i="1" s="1"/>
  <c r="N36" i="1"/>
  <c r="N35" i="1"/>
  <c r="N34" i="1"/>
  <c r="R34" i="1" s="1"/>
  <c r="U34" i="1" s="1"/>
  <c r="N33" i="1"/>
  <c r="R33" i="1" s="1"/>
  <c r="N32" i="1"/>
  <c r="R32" i="1" s="1"/>
  <c r="N31" i="1"/>
  <c r="S31" i="1" s="1"/>
  <c r="N30" i="1"/>
  <c r="S30" i="1" s="1"/>
  <c r="N29" i="1"/>
  <c r="S29" i="1" s="1"/>
  <c r="N28" i="1"/>
  <c r="N27" i="1"/>
  <c r="N26" i="1"/>
  <c r="N25" i="1"/>
  <c r="N24" i="1"/>
  <c r="N23" i="1"/>
  <c r="N22" i="1"/>
  <c r="N21" i="1"/>
  <c r="N20" i="1"/>
  <c r="S20" i="1" s="1"/>
  <c r="N19" i="1"/>
  <c r="N18" i="1"/>
  <c r="N17" i="1"/>
  <c r="N15" i="1"/>
  <c r="R15" i="1" s="1"/>
  <c r="N14" i="1"/>
  <c r="R14" i="1" s="1"/>
  <c r="N13" i="1"/>
  <c r="N12" i="1"/>
  <c r="S12" i="1" s="1"/>
  <c r="E58" i="1"/>
  <c r="F58" i="1"/>
  <c r="G58" i="1"/>
  <c r="E57" i="1"/>
  <c r="K57" i="1" s="1"/>
  <c r="F57" i="1"/>
  <c r="G57" i="1"/>
  <c r="E56" i="1"/>
  <c r="F56" i="1"/>
  <c r="G56" i="1"/>
  <c r="E55" i="1"/>
  <c r="K55" i="1" s="1"/>
  <c r="F55" i="1"/>
  <c r="G55" i="1"/>
  <c r="E54" i="1"/>
  <c r="K54" i="1" s="1"/>
  <c r="F54" i="1"/>
  <c r="G54" i="1"/>
  <c r="E53" i="1"/>
  <c r="F53" i="1"/>
  <c r="K53" i="1" s="1"/>
  <c r="G53" i="1"/>
  <c r="E52" i="1"/>
  <c r="K52" i="1" s="1"/>
  <c r="F52" i="1"/>
  <c r="G52" i="1"/>
  <c r="E51" i="1"/>
  <c r="F51" i="1"/>
  <c r="G51" i="1"/>
  <c r="E50" i="1"/>
  <c r="K50" i="1" s="1"/>
  <c r="F50" i="1"/>
  <c r="G50" i="1"/>
  <c r="E49" i="1"/>
  <c r="K49" i="1" s="1"/>
  <c r="F49" i="1"/>
  <c r="G49" i="1"/>
  <c r="E48" i="1"/>
  <c r="F48" i="1"/>
  <c r="G48" i="1"/>
  <c r="E47" i="1"/>
  <c r="F47" i="1"/>
  <c r="G47" i="1"/>
  <c r="E46" i="1"/>
  <c r="F46" i="1"/>
  <c r="G46" i="1"/>
  <c r="E45" i="1"/>
  <c r="F45" i="1"/>
  <c r="G45" i="1"/>
  <c r="E44" i="1"/>
  <c r="F44" i="1"/>
  <c r="G44" i="1"/>
  <c r="E43" i="1"/>
  <c r="F43" i="1"/>
  <c r="G43" i="1"/>
  <c r="E42" i="1"/>
  <c r="F42" i="1"/>
  <c r="G42" i="1"/>
  <c r="E41" i="1"/>
  <c r="F41" i="1"/>
  <c r="G41" i="1"/>
  <c r="E40" i="1"/>
  <c r="F40" i="1"/>
  <c r="G40" i="1"/>
  <c r="E39" i="1"/>
  <c r="F39" i="1"/>
  <c r="G39" i="1"/>
  <c r="E38" i="1"/>
  <c r="F38" i="1"/>
  <c r="G38" i="1"/>
  <c r="E37" i="1"/>
  <c r="F37" i="1"/>
  <c r="G37" i="1"/>
  <c r="E36" i="1"/>
  <c r="F36" i="1"/>
  <c r="G36" i="1"/>
  <c r="E35" i="1"/>
  <c r="F35" i="1"/>
  <c r="G35" i="1"/>
  <c r="E34" i="1"/>
  <c r="F34" i="1"/>
  <c r="G34" i="1"/>
  <c r="E33" i="1"/>
  <c r="F33" i="1"/>
  <c r="G33" i="1"/>
  <c r="E32" i="1"/>
  <c r="F32" i="1"/>
  <c r="G32" i="1"/>
  <c r="E31" i="1"/>
  <c r="K31" i="1" s="1"/>
  <c r="F31" i="1"/>
  <c r="G31" i="1"/>
  <c r="E30" i="1"/>
  <c r="K30" i="1" s="1"/>
  <c r="F30" i="1"/>
  <c r="G30" i="1"/>
  <c r="E29" i="1"/>
  <c r="F29" i="1"/>
  <c r="K29" i="1" s="1"/>
  <c r="G29" i="1"/>
  <c r="E28" i="1"/>
  <c r="K28" i="1" s="1"/>
  <c r="F28" i="1"/>
  <c r="G28" i="1"/>
  <c r="E27" i="1"/>
  <c r="F27" i="1"/>
  <c r="G27" i="1"/>
  <c r="E26" i="1"/>
  <c r="F26" i="1"/>
  <c r="G26" i="1"/>
  <c r="E25" i="1"/>
  <c r="F25" i="1"/>
  <c r="G25" i="1"/>
  <c r="E24" i="1"/>
  <c r="F24" i="1"/>
  <c r="G24" i="1"/>
  <c r="E23" i="1"/>
  <c r="K23" i="1" s="1"/>
  <c r="F23" i="1"/>
  <c r="G23" i="1"/>
  <c r="E22" i="1"/>
  <c r="F22" i="1"/>
  <c r="G22" i="1"/>
  <c r="E21" i="1"/>
  <c r="F21" i="1"/>
  <c r="G21" i="1"/>
  <c r="E20" i="1"/>
  <c r="F20" i="1"/>
  <c r="G20" i="1"/>
  <c r="E19" i="1"/>
  <c r="F19" i="1"/>
  <c r="G19" i="1"/>
  <c r="E18" i="1"/>
  <c r="K18" i="1" s="1"/>
  <c r="F18" i="1"/>
  <c r="G18" i="1"/>
  <c r="E17" i="1"/>
  <c r="K17" i="1" s="1"/>
  <c r="F17" i="1"/>
  <c r="G17" i="1"/>
  <c r="E16" i="1"/>
  <c r="F16" i="1"/>
  <c r="G16" i="1"/>
  <c r="E15" i="1"/>
  <c r="K15" i="1" s="1"/>
  <c r="F15" i="1"/>
  <c r="G15" i="1"/>
  <c r="E14" i="1"/>
  <c r="F14" i="1"/>
  <c r="G14" i="1"/>
  <c r="E13" i="1"/>
  <c r="F13" i="1"/>
  <c r="K13" i="1" s="1"/>
  <c r="G13" i="1"/>
  <c r="E12" i="1"/>
  <c r="F12" i="1"/>
  <c r="G12" i="1"/>
  <c r="E11" i="1"/>
  <c r="F11" i="1"/>
  <c r="G11" i="1"/>
  <c r="E10" i="1"/>
  <c r="K10" i="1" s="1"/>
  <c r="F10" i="1"/>
  <c r="G10" i="1"/>
  <c r="A4" i="3"/>
  <c r="A3" i="2"/>
  <c r="D2" i="1"/>
  <c r="AD15" i="1" l="1"/>
  <c r="AD13" i="1"/>
  <c r="AD29" i="1"/>
  <c r="Z29" i="5"/>
  <c r="AD43" i="1"/>
  <c r="Z17" i="5"/>
  <c r="R44" i="1"/>
  <c r="S44" i="1"/>
  <c r="G12" i="11"/>
  <c r="H12" i="11"/>
  <c r="O12" i="11"/>
  <c r="F12" i="11"/>
  <c r="I12" i="11"/>
  <c r="J12" i="11"/>
  <c r="AB25" i="15"/>
  <c r="K23" i="5"/>
  <c r="N17" i="5"/>
  <c r="Q17" i="5" s="1"/>
  <c r="O17" i="5"/>
  <c r="P17" i="5"/>
  <c r="AG17" i="5"/>
  <c r="L29" i="5"/>
  <c r="AG22" i="5"/>
  <c r="AF22" i="5"/>
  <c r="AF29" i="5"/>
  <c r="O15" i="11"/>
  <c r="G15" i="11"/>
  <c r="F15" i="11"/>
  <c r="H15" i="11"/>
  <c r="H26" i="15"/>
  <c r="I26" i="15"/>
  <c r="G26" i="15"/>
  <c r="M26" i="15" s="1"/>
  <c r="U26" i="15"/>
  <c r="V26" i="15"/>
  <c r="T26" i="15"/>
  <c r="S26" i="15"/>
  <c r="K26" i="15"/>
  <c r="J26" i="15"/>
  <c r="G11" i="15"/>
  <c r="M11" i="15" s="1"/>
  <c r="N22" i="5"/>
  <c r="Q22" i="5" s="1"/>
  <c r="R20" i="1"/>
  <c r="U20" i="1" s="1"/>
  <c r="K22" i="5"/>
  <c r="N18" i="5"/>
  <c r="Q18" i="5" s="1"/>
  <c r="R19" i="1"/>
  <c r="S19" i="1"/>
  <c r="S27" i="1"/>
  <c r="R27" i="1"/>
  <c r="U27" i="1" s="1"/>
  <c r="AD27" i="1" s="1"/>
  <c r="R35" i="1"/>
  <c r="U35" i="1" s="1"/>
  <c r="S35" i="1"/>
  <c r="R43" i="1"/>
  <c r="U43" i="1" s="1"/>
  <c r="S43" i="1"/>
  <c r="R16" i="1"/>
  <c r="S16" i="1"/>
  <c r="L14" i="5"/>
  <c r="L22" i="5"/>
  <c r="L30" i="5"/>
  <c r="Z13" i="5"/>
  <c r="Z21" i="5"/>
  <c r="Z25" i="5"/>
  <c r="I15" i="11"/>
  <c r="O17" i="11"/>
  <c r="F17" i="11"/>
  <c r="Q17" i="11" s="1"/>
  <c r="R17" i="11" s="1"/>
  <c r="I17" i="11"/>
  <c r="AC30" i="15"/>
  <c r="AC28" i="15"/>
  <c r="AC26" i="15"/>
  <c r="AC24" i="15"/>
  <c r="AC22" i="15"/>
  <c r="AC20" i="15"/>
  <c r="AE20" i="15" s="1"/>
  <c r="AC18" i="15"/>
  <c r="AE18" i="15" s="1"/>
  <c r="AC16" i="15"/>
  <c r="AE16" i="15" s="1"/>
  <c r="AC14" i="15"/>
  <c r="AD13" i="15"/>
  <c r="AD30" i="15"/>
  <c r="AD28" i="15"/>
  <c r="AD26" i="15"/>
  <c r="AD24" i="15"/>
  <c r="AD22" i="15"/>
  <c r="AD20" i="15"/>
  <c r="AD18" i="15"/>
  <c r="AD16" i="15"/>
  <c r="AD14" i="15"/>
  <c r="AB30" i="15"/>
  <c r="AB28" i="15"/>
  <c r="AE28" i="15" s="1"/>
  <c r="AB26" i="15"/>
  <c r="AB24" i="15"/>
  <c r="AE24" i="15" s="1"/>
  <c r="AB22" i="15"/>
  <c r="AE22" i="15" s="1"/>
  <c r="AB20" i="15"/>
  <c r="AB18" i="15"/>
  <c r="AB16" i="15"/>
  <c r="AB14" i="15"/>
  <c r="AC13" i="15"/>
  <c r="AE13" i="15" s="1"/>
  <c r="AD12" i="15"/>
  <c r="AC27" i="15"/>
  <c r="AC23" i="15"/>
  <c r="AE23" i="15" s="1"/>
  <c r="AC19" i="15"/>
  <c r="AC15" i="15"/>
  <c r="AC11" i="15"/>
  <c r="AD27" i="15"/>
  <c r="AD23" i="15"/>
  <c r="AD19" i="15"/>
  <c r="AD15" i="15"/>
  <c r="AD11" i="15"/>
  <c r="AB12" i="15"/>
  <c r="AB27" i="15"/>
  <c r="AB23" i="15"/>
  <c r="AB19" i="15"/>
  <c r="AB15" i="15"/>
  <c r="AE15" i="15" s="1"/>
  <c r="AB11" i="15"/>
  <c r="AE11" i="15" s="1"/>
  <c r="AC29" i="15"/>
  <c r="AC21" i="15"/>
  <c r="AD29" i="15"/>
  <c r="AD21" i="15"/>
  <c r="H11" i="15"/>
  <c r="AB13" i="15"/>
  <c r="AB29" i="15"/>
  <c r="AE29" i="15" s="1"/>
  <c r="AB21" i="15"/>
  <c r="AE21" i="15" s="1"/>
  <c r="V11" i="15"/>
  <c r="AD25" i="15"/>
  <c r="T11" i="15"/>
  <c r="U11" i="15"/>
  <c r="K11" i="15"/>
  <c r="AB17" i="15"/>
  <c r="J11" i="15"/>
  <c r="AC17" i="15"/>
  <c r="AC25" i="15"/>
  <c r="S11" i="15"/>
  <c r="W11" i="15" s="1"/>
  <c r="H14" i="15"/>
  <c r="I14" i="15"/>
  <c r="G14" i="15"/>
  <c r="S14" i="15"/>
  <c r="W14" i="15" s="1"/>
  <c r="K14" i="15"/>
  <c r="H22" i="15"/>
  <c r="I22" i="15"/>
  <c r="G22" i="15"/>
  <c r="M22" i="15" s="1"/>
  <c r="S22" i="15"/>
  <c r="W22" i="15" s="1"/>
  <c r="U22" i="15"/>
  <c r="V22" i="15"/>
  <c r="T22" i="15"/>
  <c r="K22" i="15"/>
  <c r="T30" i="15"/>
  <c r="U30" i="15"/>
  <c r="V30" i="15"/>
  <c r="K47" i="1"/>
  <c r="K40" i="1"/>
  <c r="G17" i="11"/>
  <c r="W18" i="15"/>
  <c r="AC12" i="15"/>
  <c r="AE12" i="15" s="1"/>
  <c r="AD17" i="15"/>
  <c r="R36" i="1"/>
  <c r="U36" i="1" s="1"/>
  <c r="AD36" i="1" s="1"/>
  <c r="S36" i="1"/>
  <c r="Z19" i="5"/>
  <c r="O13" i="5"/>
  <c r="N13" i="5"/>
  <c r="AG13" i="5"/>
  <c r="P13" i="5"/>
  <c r="AF13" i="5"/>
  <c r="P25" i="5"/>
  <c r="O25" i="5"/>
  <c r="I24" i="11"/>
  <c r="O24" i="11"/>
  <c r="H24" i="11"/>
  <c r="L13" i="5"/>
  <c r="L21" i="5"/>
  <c r="K25" i="5"/>
  <c r="AF14" i="5"/>
  <c r="AG14" i="5"/>
  <c r="O26" i="5"/>
  <c r="AG26" i="5"/>
  <c r="K16" i="1"/>
  <c r="K30" i="5"/>
  <c r="N26" i="5"/>
  <c r="Q26" i="5" s="1"/>
  <c r="Z30" i="5"/>
  <c r="I18" i="13"/>
  <c r="G18" i="13"/>
  <c r="M18" i="13" s="1"/>
  <c r="H18" i="13"/>
  <c r="N18" i="13"/>
  <c r="AH20" i="5"/>
  <c r="U51" i="1"/>
  <c r="K39" i="1"/>
  <c r="AD54" i="1"/>
  <c r="U32" i="1"/>
  <c r="Z28" i="5"/>
  <c r="L11" i="6"/>
  <c r="G19" i="11"/>
  <c r="H19" i="11"/>
  <c r="F19" i="11"/>
  <c r="Q19" i="11" s="1"/>
  <c r="R19" i="11" s="1"/>
  <c r="I19" i="11"/>
  <c r="O19" i="11"/>
  <c r="J19" i="11"/>
  <c r="O22" i="11"/>
  <c r="F22" i="11"/>
  <c r="H22" i="11"/>
  <c r="G22" i="11"/>
  <c r="I22" i="11"/>
  <c r="O28" i="11"/>
  <c r="F28" i="11"/>
  <c r="Q28" i="11" s="1"/>
  <c r="G28" i="11"/>
  <c r="H28" i="11"/>
  <c r="I28" i="11"/>
  <c r="J28" i="11"/>
  <c r="H13" i="13"/>
  <c r="I13" i="13"/>
  <c r="G13" i="13"/>
  <c r="M13" i="13" s="1"/>
  <c r="N13" i="13"/>
  <c r="H21" i="13"/>
  <c r="I21" i="13"/>
  <c r="G21" i="13"/>
  <c r="N21" i="13"/>
  <c r="H29" i="13"/>
  <c r="I29" i="13"/>
  <c r="G29" i="13"/>
  <c r="M29" i="13" s="1"/>
  <c r="N29" i="13"/>
  <c r="J22" i="15"/>
  <c r="J30" i="15"/>
  <c r="N29" i="5"/>
  <c r="Q29" i="5" s="1"/>
  <c r="AH29" i="5" s="1"/>
  <c r="AD51" i="1"/>
  <c r="S42" i="1"/>
  <c r="U42" i="1" s="1"/>
  <c r="K24" i="1"/>
  <c r="S17" i="15"/>
  <c r="T17" i="15"/>
  <c r="I17" i="15"/>
  <c r="G17" i="15"/>
  <c r="M17" i="15" s="1"/>
  <c r="H17" i="15"/>
  <c r="U17" i="15"/>
  <c r="V17" i="15"/>
  <c r="J17" i="15"/>
  <c r="S25" i="15"/>
  <c r="T25" i="15"/>
  <c r="I25" i="15"/>
  <c r="G25" i="15"/>
  <c r="M25" i="15" s="1"/>
  <c r="H25" i="15"/>
  <c r="U25" i="15"/>
  <c r="V25" i="15"/>
  <c r="K25" i="15"/>
  <c r="J25" i="15"/>
  <c r="K17" i="15"/>
  <c r="Q21" i="8"/>
  <c r="K15" i="5"/>
  <c r="O21" i="5"/>
  <c r="P21" i="5"/>
  <c r="N21" i="5"/>
  <c r="Z14" i="5"/>
  <c r="AF17" i="5"/>
  <c r="O21" i="11"/>
  <c r="H21" i="11"/>
  <c r="J21" i="11"/>
  <c r="I21" i="11"/>
  <c r="F21" i="11"/>
  <c r="K58" i="1"/>
  <c r="G24" i="11"/>
  <c r="N30" i="5"/>
  <c r="O30" i="5"/>
  <c r="K9" i="1"/>
  <c r="K13" i="8"/>
  <c r="X13" i="8" s="1"/>
  <c r="L12" i="5"/>
  <c r="L18" i="5"/>
  <c r="P22" i="5"/>
  <c r="AG29" i="5"/>
  <c r="I26" i="13"/>
  <c r="G26" i="13"/>
  <c r="H26" i="13"/>
  <c r="N26" i="13"/>
  <c r="P29" i="5"/>
  <c r="N25" i="5"/>
  <c r="K48" i="1"/>
  <c r="K32" i="1"/>
  <c r="AD17" i="1"/>
  <c r="R17" i="1"/>
  <c r="U17" i="1" s="1"/>
  <c r="S17" i="1"/>
  <c r="R25" i="1"/>
  <c r="S25" i="1"/>
  <c r="R49" i="1"/>
  <c r="S49" i="1"/>
  <c r="R57" i="1"/>
  <c r="U57" i="1" s="1"/>
  <c r="AD57" i="1" s="1"/>
  <c r="S57" i="1"/>
  <c r="K11" i="5"/>
  <c r="K19" i="5"/>
  <c r="K27" i="5"/>
  <c r="N15" i="5"/>
  <c r="Q15" i="5" s="1"/>
  <c r="AH15" i="5" s="1"/>
  <c r="AF19" i="5"/>
  <c r="P23" i="5"/>
  <c r="Q23" i="5" s="1"/>
  <c r="AH23" i="5" s="1"/>
  <c r="P27" i="5"/>
  <c r="Z16" i="5"/>
  <c r="AG21" i="5"/>
  <c r="AG30" i="5"/>
  <c r="J17" i="11"/>
  <c r="I29" i="11"/>
  <c r="N16" i="13"/>
  <c r="G16" i="13"/>
  <c r="M16" i="13" s="1"/>
  <c r="H16" i="13"/>
  <c r="I16" i="13"/>
  <c r="N24" i="13"/>
  <c r="G24" i="13"/>
  <c r="H24" i="13"/>
  <c r="I24" i="13"/>
  <c r="I11" i="13"/>
  <c r="M11" i="13" s="1"/>
  <c r="N11" i="13"/>
  <c r="H11" i="13"/>
  <c r="J11" i="13"/>
  <c r="J23" i="15"/>
  <c r="K30" i="15"/>
  <c r="AE26" i="15"/>
  <c r="AG12" i="5"/>
  <c r="S52" i="1"/>
  <c r="U52" i="1" s="1"/>
  <c r="AD52" i="1" s="1"/>
  <c r="K44" i="1"/>
  <c r="S33" i="1"/>
  <c r="U33" i="1" s="1"/>
  <c r="K26" i="1"/>
  <c r="S28" i="1"/>
  <c r="R28" i="1"/>
  <c r="U28" i="1" s="1"/>
  <c r="AD28" i="1" s="1"/>
  <c r="Z27" i="5"/>
  <c r="K20" i="15"/>
  <c r="J20" i="15"/>
  <c r="K56" i="1"/>
  <c r="K12" i="5"/>
  <c r="K17" i="5"/>
  <c r="AG18" i="5"/>
  <c r="AF18" i="5"/>
  <c r="I15" i="15"/>
  <c r="F24" i="11"/>
  <c r="K14" i="5"/>
  <c r="L26" i="5"/>
  <c r="P14" i="5"/>
  <c r="Q14" i="5" s="1"/>
  <c r="AH14" i="5" s="1"/>
  <c r="P30" i="5"/>
  <c r="S18" i="1"/>
  <c r="R18" i="1"/>
  <c r="U18" i="1" s="1"/>
  <c r="S26" i="1"/>
  <c r="R26" i="1"/>
  <c r="U26" i="1" s="1"/>
  <c r="S50" i="1"/>
  <c r="R50" i="1"/>
  <c r="U50" i="1" s="1"/>
  <c r="AD50" i="1" s="1"/>
  <c r="S58" i="1"/>
  <c r="R58" i="1"/>
  <c r="AC53" i="1"/>
  <c r="AD53" i="1" s="1"/>
  <c r="K13" i="5"/>
  <c r="L17" i="5"/>
  <c r="K21" i="5"/>
  <c r="L25" i="5"/>
  <c r="K29" i="5"/>
  <c r="Z12" i="5"/>
  <c r="R11" i="6"/>
  <c r="H26" i="11"/>
  <c r="G26" i="11"/>
  <c r="O26" i="11"/>
  <c r="F26" i="11"/>
  <c r="Q26" i="11" s="1"/>
  <c r="R26" i="11" s="1"/>
  <c r="I26" i="11"/>
  <c r="J26" i="11"/>
  <c r="N19" i="13"/>
  <c r="O19" i="13" s="1"/>
  <c r="G19" i="13"/>
  <c r="M19" i="13" s="1"/>
  <c r="H19" i="13"/>
  <c r="I19" i="13"/>
  <c r="N27" i="13"/>
  <c r="G27" i="13"/>
  <c r="I27" i="13"/>
  <c r="H27" i="13"/>
  <c r="V19" i="15"/>
  <c r="G19" i="15"/>
  <c r="M19" i="15" s="1"/>
  <c r="H19" i="15"/>
  <c r="U19" i="15"/>
  <c r="I19" i="15"/>
  <c r="S19" i="15"/>
  <c r="T19" i="15"/>
  <c r="T28" i="15"/>
  <c r="U28" i="15"/>
  <c r="V28" i="15"/>
  <c r="S28" i="15"/>
  <c r="I28" i="15"/>
  <c r="H28" i="15"/>
  <c r="K28" i="15"/>
  <c r="J28" i="15"/>
  <c r="G28" i="15"/>
  <c r="M28" i="15" s="1"/>
  <c r="J14" i="15"/>
  <c r="H17" i="11"/>
  <c r="R24" i="1"/>
  <c r="S24" i="1"/>
  <c r="AC10" i="1"/>
  <c r="AC14" i="1"/>
  <c r="AC18" i="1"/>
  <c r="AD18" i="1" s="1"/>
  <c r="AC31" i="1"/>
  <c r="AC35" i="1"/>
  <c r="AC39" i="1"/>
  <c r="AC43" i="1"/>
  <c r="AC47" i="1"/>
  <c r="AC52" i="1"/>
  <c r="AC56" i="1"/>
  <c r="Z22" i="5"/>
  <c r="AG23" i="5"/>
  <c r="AF28" i="5"/>
  <c r="O14" i="11"/>
  <c r="F14" i="11"/>
  <c r="H14" i="11"/>
  <c r="I14" i="11"/>
  <c r="O23" i="11"/>
  <c r="G23" i="11"/>
  <c r="H23" i="11"/>
  <c r="F23" i="11"/>
  <c r="O30" i="11"/>
  <c r="F30" i="11"/>
  <c r="Q30" i="11" s="1"/>
  <c r="I30" i="11"/>
  <c r="N15" i="13"/>
  <c r="I15" i="13"/>
  <c r="H15" i="13"/>
  <c r="N23" i="13"/>
  <c r="I23" i="13"/>
  <c r="H23" i="13"/>
  <c r="G23" i="13"/>
  <c r="T16" i="15"/>
  <c r="U16" i="15"/>
  <c r="V16" i="15"/>
  <c r="S16" i="15"/>
  <c r="W16" i="15" s="1"/>
  <c r="G16" i="15"/>
  <c r="M16" i="15" s="1"/>
  <c r="I16" i="15"/>
  <c r="H16" i="15"/>
  <c r="T24" i="15"/>
  <c r="U24" i="15"/>
  <c r="V24" i="15"/>
  <c r="S24" i="15"/>
  <c r="W24" i="15" s="1"/>
  <c r="G24" i="15"/>
  <c r="M24" i="15" s="1"/>
  <c r="K21" i="15"/>
  <c r="V11" i="5"/>
  <c r="Y11" i="5" s="1"/>
  <c r="O23" i="5"/>
  <c r="AE12" i="5"/>
  <c r="S48" i="1"/>
  <c r="U48" i="1" s="1"/>
  <c r="S40" i="1"/>
  <c r="U40" i="1" s="1"/>
  <c r="S32" i="1"/>
  <c r="K12" i="1"/>
  <c r="K18" i="8"/>
  <c r="X18" i="8" s="1"/>
  <c r="G15" i="13"/>
  <c r="R17" i="6"/>
  <c r="N11" i="8"/>
  <c r="Q11" i="8" s="1"/>
  <c r="H11" i="8"/>
  <c r="K11" i="8" s="1"/>
  <c r="X11" i="8" s="1"/>
  <c r="F20" i="8"/>
  <c r="K20" i="8" s="1"/>
  <c r="X20" i="8" s="1"/>
  <c r="G20" i="8"/>
  <c r="H20" i="8"/>
  <c r="P20" i="8"/>
  <c r="O20" i="8"/>
  <c r="P21" i="8"/>
  <c r="F21" i="8"/>
  <c r="O21" i="8"/>
  <c r="G21" i="8"/>
  <c r="R21" i="1"/>
  <c r="U21" i="1" s="1"/>
  <c r="S21" i="1"/>
  <c r="O19" i="5"/>
  <c r="O27" i="5"/>
  <c r="Q27" i="5" s="1"/>
  <c r="AH27" i="5" s="1"/>
  <c r="Z11" i="5"/>
  <c r="O13" i="11"/>
  <c r="O20" i="11"/>
  <c r="F20" i="11"/>
  <c r="Q20" i="11" s="1"/>
  <c r="R20" i="11" s="1"/>
  <c r="G20" i="11"/>
  <c r="H20" i="11"/>
  <c r="I20" i="11"/>
  <c r="I23" i="11"/>
  <c r="O29" i="11"/>
  <c r="H29" i="11"/>
  <c r="F29" i="11"/>
  <c r="G29" i="11"/>
  <c r="V15" i="15"/>
  <c r="G15" i="15"/>
  <c r="H15" i="15"/>
  <c r="U15" i="15"/>
  <c r="S15" i="15"/>
  <c r="T15" i="15"/>
  <c r="V23" i="15"/>
  <c r="G23" i="15"/>
  <c r="M23" i="15" s="1"/>
  <c r="H23" i="15"/>
  <c r="U23" i="15"/>
  <c r="S23" i="15"/>
  <c r="T23" i="15"/>
  <c r="I23" i="15"/>
  <c r="K15" i="15"/>
  <c r="K24" i="15"/>
  <c r="S9" i="1"/>
  <c r="U9" i="1" s="1"/>
  <c r="O28" i="5"/>
  <c r="P15" i="5"/>
  <c r="O12" i="5"/>
  <c r="P12" i="5"/>
  <c r="N12" i="5"/>
  <c r="Q12" i="5" s="1"/>
  <c r="S56" i="1"/>
  <c r="U56" i="1" s="1"/>
  <c r="K45" i="1"/>
  <c r="AD45" i="1" s="1"/>
  <c r="K41" i="1"/>
  <c r="AD41" i="1" s="1"/>
  <c r="K37" i="1"/>
  <c r="AD37" i="1" s="1"/>
  <c r="K33" i="1"/>
  <c r="R12" i="1"/>
  <c r="U12" i="1" s="1"/>
  <c r="R10" i="1"/>
  <c r="U10" i="1" s="1"/>
  <c r="AD10" i="1" s="1"/>
  <c r="X23" i="8"/>
  <c r="K14" i="8"/>
  <c r="X14" i="8" s="1"/>
  <c r="H13" i="11"/>
  <c r="H30" i="13"/>
  <c r="W11" i="8"/>
  <c r="K21" i="1"/>
  <c r="R13" i="1"/>
  <c r="U13" i="1" s="1"/>
  <c r="S13" i="1"/>
  <c r="R22" i="1"/>
  <c r="S22" i="1"/>
  <c r="R11" i="1"/>
  <c r="S11" i="1"/>
  <c r="AC13" i="1"/>
  <c r="AC30" i="1"/>
  <c r="AD30" i="1" s="1"/>
  <c r="AC34" i="1"/>
  <c r="AC38" i="1"/>
  <c r="AC42" i="1"/>
  <c r="AC46" i="1"/>
  <c r="AC55" i="1"/>
  <c r="AD55" i="1" s="1"/>
  <c r="AF27" i="5"/>
  <c r="J14" i="11"/>
  <c r="H18" i="11"/>
  <c r="G18" i="11"/>
  <c r="O18" i="11"/>
  <c r="F18" i="11"/>
  <c r="Q18" i="11" s="1"/>
  <c r="R18" i="11" s="1"/>
  <c r="I18" i="11"/>
  <c r="J23" i="11"/>
  <c r="O27" i="11"/>
  <c r="J30" i="11"/>
  <c r="H17" i="13"/>
  <c r="I17" i="13"/>
  <c r="G17" i="13"/>
  <c r="N17" i="13"/>
  <c r="H25" i="13"/>
  <c r="I25" i="13"/>
  <c r="G25" i="13"/>
  <c r="M25" i="13" s="1"/>
  <c r="O25" i="13" s="1"/>
  <c r="H18" i="15"/>
  <c r="I18" i="15"/>
  <c r="G18" i="15"/>
  <c r="U18" i="15"/>
  <c r="V18" i="15"/>
  <c r="T18" i="15"/>
  <c r="K18" i="15"/>
  <c r="V27" i="15"/>
  <c r="G27" i="15"/>
  <c r="M27" i="15" s="1"/>
  <c r="H27" i="15"/>
  <c r="U27" i="15"/>
  <c r="W27" i="15" s="1"/>
  <c r="I27" i="15"/>
  <c r="J16" i="15"/>
  <c r="AE14" i="15"/>
  <c r="AE30" i="15"/>
  <c r="T12" i="15"/>
  <c r="U12" i="15"/>
  <c r="V12" i="15"/>
  <c r="S12" i="15"/>
  <c r="I12" i="15"/>
  <c r="H12" i="15"/>
  <c r="M12" i="15" s="1"/>
  <c r="O11" i="5"/>
  <c r="Q11" i="5" s="1"/>
  <c r="AH11" i="5" s="1"/>
  <c r="N28" i="5"/>
  <c r="Q28" i="5" s="1"/>
  <c r="AH28" i="5" s="1"/>
  <c r="P19" i="5"/>
  <c r="O15" i="5"/>
  <c r="S47" i="1"/>
  <c r="U47" i="1" s="1"/>
  <c r="S39" i="1"/>
  <c r="U39" i="1" s="1"/>
  <c r="R31" i="1"/>
  <c r="U31" i="1" s="1"/>
  <c r="AD31" i="1" s="1"/>
  <c r="K25" i="1"/>
  <c r="N20" i="8"/>
  <c r="Q20" i="8" s="1"/>
  <c r="X16" i="8"/>
  <c r="G27" i="11"/>
  <c r="G13" i="11"/>
  <c r="I24" i="15"/>
  <c r="G30" i="13"/>
  <c r="W21" i="8"/>
  <c r="N22" i="8"/>
  <c r="O22" i="8"/>
  <c r="P22" i="8"/>
  <c r="F22" i="8"/>
  <c r="K22" i="8" s="1"/>
  <c r="G22" i="8"/>
  <c r="H22" i="8"/>
  <c r="W24" i="8"/>
  <c r="R23" i="1"/>
  <c r="S23" i="1"/>
  <c r="P16" i="5"/>
  <c r="N16" i="5"/>
  <c r="Q16" i="5" s="1"/>
  <c r="AH16" i="5" s="1"/>
  <c r="AG16" i="5"/>
  <c r="P24" i="5"/>
  <c r="N24" i="5"/>
  <c r="Q24" i="5" s="1"/>
  <c r="AH24" i="5" s="1"/>
  <c r="AG24" i="5"/>
  <c r="V18" i="5"/>
  <c r="Y18" i="5" s="1"/>
  <c r="Z18" i="5" s="1"/>
  <c r="V26" i="5"/>
  <c r="Y26" i="5" s="1"/>
  <c r="Z26" i="5" s="1"/>
  <c r="AF23" i="5"/>
  <c r="AG27" i="5"/>
  <c r="H16" i="11"/>
  <c r="O16" i="11"/>
  <c r="G16" i="11"/>
  <c r="F16" i="11"/>
  <c r="I16" i="11"/>
  <c r="F25" i="11"/>
  <c r="G25" i="11"/>
  <c r="H25" i="11"/>
  <c r="N12" i="13"/>
  <c r="G12" i="13"/>
  <c r="H12" i="13"/>
  <c r="I12" i="13"/>
  <c r="N20" i="13"/>
  <c r="G20" i="13"/>
  <c r="H20" i="13"/>
  <c r="N28" i="13"/>
  <c r="O28" i="13" s="1"/>
  <c r="G28" i="13"/>
  <c r="M28" i="13" s="1"/>
  <c r="H28" i="13"/>
  <c r="I28" i="13"/>
  <c r="S13" i="15"/>
  <c r="T13" i="15"/>
  <c r="I13" i="15"/>
  <c r="V13" i="15"/>
  <c r="G13" i="15"/>
  <c r="M13" i="15" s="1"/>
  <c r="H13" i="15"/>
  <c r="U13" i="15"/>
  <c r="S21" i="15"/>
  <c r="T21" i="15"/>
  <c r="I21" i="15"/>
  <c r="M21" i="15" s="1"/>
  <c r="V21" i="15"/>
  <c r="K16" i="15"/>
  <c r="J21" i="15"/>
  <c r="N19" i="5"/>
  <c r="Q19" i="5" s="1"/>
  <c r="K46" i="1"/>
  <c r="K42" i="1"/>
  <c r="K38" i="1"/>
  <c r="AD38" i="1" s="1"/>
  <c r="K34" i="1"/>
  <c r="AD34" i="1" s="1"/>
  <c r="Q28" i="8"/>
  <c r="X19" i="8"/>
  <c r="F27" i="11"/>
  <c r="Q27" i="11" s="1"/>
  <c r="R27" i="11" s="1"/>
  <c r="F13" i="11"/>
  <c r="H24" i="15"/>
  <c r="N30" i="13"/>
  <c r="Q17" i="6"/>
  <c r="W12" i="8"/>
  <c r="N12" i="8"/>
  <c r="O12" i="8"/>
  <c r="H12" i="8"/>
  <c r="P12" i="8"/>
  <c r="F12" i="8"/>
  <c r="W20" i="8"/>
  <c r="O25" i="11"/>
  <c r="I14" i="13"/>
  <c r="M14" i="13" s="1"/>
  <c r="O14" i="13" s="1"/>
  <c r="I22" i="13"/>
  <c r="T20" i="15"/>
  <c r="U20" i="15"/>
  <c r="V20" i="15"/>
  <c r="S20" i="15"/>
  <c r="I20" i="15"/>
  <c r="H20" i="15"/>
  <c r="S29" i="15"/>
  <c r="T29" i="15"/>
  <c r="I29" i="15"/>
  <c r="V29" i="15"/>
  <c r="J29" i="15"/>
  <c r="K26" i="8"/>
  <c r="X26" i="8" s="1"/>
  <c r="Q16" i="8"/>
  <c r="N22" i="13"/>
  <c r="L18" i="6"/>
  <c r="H27" i="8"/>
  <c r="N27" i="8"/>
  <c r="Q27" i="8" s="1"/>
  <c r="G27" i="8"/>
  <c r="K27" i="8" s="1"/>
  <c r="X27" i="8" s="1"/>
  <c r="Q24" i="8"/>
  <c r="X24" i="8" s="1"/>
  <c r="U29" i="15"/>
  <c r="G20" i="15"/>
  <c r="M20" i="15" s="1"/>
  <c r="Q18" i="6"/>
  <c r="H15" i="8"/>
  <c r="N15" i="8"/>
  <c r="Q15" i="8" s="1"/>
  <c r="G15" i="8"/>
  <c r="K15" i="8" s="1"/>
  <c r="X15" i="8" s="1"/>
  <c r="W17" i="8"/>
  <c r="X17" i="8" s="1"/>
  <c r="H30" i="15"/>
  <c r="I30" i="15"/>
  <c r="G30" i="15"/>
  <c r="M30" i="15" s="1"/>
  <c r="S30" i="15"/>
  <c r="AE19" i="15"/>
  <c r="AE27" i="15"/>
  <c r="K20" i="1"/>
  <c r="AD20" i="1" s="1"/>
  <c r="H29" i="15"/>
  <c r="H22" i="13"/>
  <c r="L13" i="6"/>
  <c r="R13" i="6" s="1"/>
  <c r="O11" i="11"/>
  <c r="F11" i="11"/>
  <c r="Q11" i="11" s="1"/>
  <c r="R11" i="11" s="1"/>
  <c r="K14" i="1"/>
  <c r="G29" i="15"/>
  <c r="G22" i="13"/>
  <c r="R14" i="6"/>
  <c r="W28" i="8"/>
  <c r="F28" i="8"/>
  <c r="G28" i="8"/>
  <c r="H28" i="8"/>
  <c r="AC27" i="1"/>
  <c r="W15" i="8"/>
  <c r="W25" i="8"/>
  <c r="X25" i="8" s="1"/>
  <c r="Q19" i="6"/>
  <c r="L19" i="6"/>
  <c r="R19" i="6" s="1"/>
  <c r="W16" i="8"/>
  <c r="W22" i="8"/>
  <c r="O11" i="13" l="1"/>
  <c r="AD9" i="1"/>
  <c r="K28" i="8"/>
  <c r="X28" i="8" s="1"/>
  <c r="O16" i="13"/>
  <c r="AD32" i="1"/>
  <c r="Q12" i="8"/>
  <c r="Q25" i="11"/>
  <c r="R25" i="11" s="1"/>
  <c r="Q22" i="8"/>
  <c r="X22" i="8" s="1"/>
  <c r="K21" i="8"/>
  <c r="X21" i="8" s="1"/>
  <c r="Q30" i="5"/>
  <c r="AH30" i="5" s="1"/>
  <c r="R18" i="6"/>
  <c r="R21" i="6" s="1"/>
  <c r="C12" i="16" s="1"/>
  <c r="U23" i="1"/>
  <c r="AD23" i="1" s="1"/>
  <c r="W19" i="15"/>
  <c r="AD14" i="1"/>
  <c r="Q13" i="11"/>
  <c r="R13" i="11" s="1"/>
  <c r="AH19" i="5"/>
  <c r="O12" i="13"/>
  <c r="AF27" i="15"/>
  <c r="AF16" i="15"/>
  <c r="AF19" i="15"/>
  <c r="U58" i="1"/>
  <c r="AD44" i="1"/>
  <c r="M26" i="13"/>
  <c r="O26" i="13" s="1"/>
  <c r="O29" i="13"/>
  <c r="O13" i="13"/>
  <c r="R28" i="11"/>
  <c r="Q13" i="5"/>
  <c r="AH13" i="5" s="1"/>
  <c r="AD35" i="1"/>
  <c r="AH17" i="5"/>
  <c r="AH22" i="5"/>
  <c r="U11" i="1"/>
  <c r="AD11" i="1" s="1"/>
  <c r="U49" i="1"/>
  <c r="AD49" i="1" s="1"/>
  <c r="U44" i="1"/>
  <c r="AD48" i="1"/>
  <c r="W15" i="15"/>
  <c r="U25" i="1"/>
  <c r="W17" i="15"/>
  <c r="AF17" i="15" s="1"/>
  <c r="U16" i="1"/>
  <c r="AD16" i="1" s="1"/>
  <c r="M22" i="13"/>
  <c r="O22" i="13" s="1"/>
  <c r="W13" i="15"/>
  <c r="Q16" i="11"/>
  <c r="R16" i="11" s="1"/>
  <c r="M30" i="13"/>
  <c r="O30" i="13" s="1"/>
  <c r="W12" i="15"/>
  <c r="AF12" i="15" s="1"/>
  <c r="M17" i="13"/>
  <c r="O17" i="13" s="1"/>
  <c r="M15" i="13"/>
  <c r="M23" i="13"/>
  <c r="O23" i="13" s="1"/>
  <c r="R30" i="11"/>
  <c r="Q14" i="11"/>
  <c r="R14" i="11" s="1"/>
  <c r="U24" i="1"/>
  <c r="AD24" i="1" s="1"/>
  <c r="AD56" i="1"/>
  <c r="M24" i="13"/>
  <c r="O24" i="13" s="1"/>
  <c r="AD58" i="1"/>
  <c r="Q21" i="5"/>
  <c r="AH21" i="5" s="1"/>
  <c r="M21" i="13"/>
  <c r="Q22" i="11"/>
  <c r="R22" i="11" s="1"/>
  <c r="AD40" i="1"/>
  <c r="AE17" i="15"/>
  <c r="W26" i="15"/>
  <c r="AF26" i="15" s="1"/>
  <c r="Q15" i="11"/>
  <c r="R15" i="11" s="1"/>
  <c r="Q12" i="11"/>
  <c r="R12" i="11" s="1"/>
  <c r="AF25" i="15"/>
  <c r="AF22" i="15"/>
  <c r="Q29" i="11"/>
  <c r="R29" i="11" s="1"/>
  <c r="AE25" i="15"/>
  <c r="U22" i="1"/>
  <c r="AD22" i="1" s="1"/>
  <c r="M27" i="13"/>
  <c r="O27" i="13" s="1"/>
  <c r="AH26" i="5"/>
  <c r="U19" i="1"/>
  <c r="AD19" i="1" s="1"/>
  <c r="M29" i="15"/>
  <c r="AF29" i="15" s="1"/>
  <c r="AD42" i="1"/>
  <c r="W21" i="15"/>
  <c r="AF21" i="15" s="1"/>
  <c r="M18" i="15"/>
  <c r="AF18" i="15" s="1"/>
  <c r="W23" i="15"/>
  <c r="AF23" i="15" s="1"/>
  <c r="AD26" i="1"/>
  <c r="Q21" i="11"/>
  <c r="R21" i="11" s="1"/>
  <c r="AD47" i="1"/>
  <c r="M14" i="15"/>
  <c r="AF14" i="15" s="1"/>
  <c r="AH18" i="5"/>
  <c r="AF13" i="15"/>
  <c r="AF24" i="15"/>
  <c r="AF11" i="15"/>
  <c r="W30" i="15"/>
  <c r="AF30" i="15" s="1"/>
  <c r="M20" i="13"/>
  <c r="O20" i="13" s="1"/>
  <c r="AD25" i="1"/>
  <c r="O15" i="13"/>
  <c r="W29" i="15"/>
  <c r="AH12" i="5"/>
  <c r="Q25" i="5"/>
  <c r="AH25" i="5" s="1"/>
  <c r="W25" i="15"/>
  <c r="O21" i="13"/>
  <c r="AD39" i="1"/>
  <c r="W20" i="15"/>
  <c r="AF20" i="15" s="1"/>
  <c r="K12" i="8"/>
  <c r="X12" i="8" s="1"/>
  <c r="AD46" i="1"/>
  <c r="M12" i="13"/>
  <c r="AD21" i="1"/>
  <c r="AD33" i="1"/>
  <c r="M15" i="15"/>
  <c r="AF15" i="15" s="1"/>
  <c r="AD12" i="1"/>
  <c r="Q23" i="11"/>
  <c r="R23" i="11" s="1"/>
  <c r="W28" i="15"/>
  <c r="AF28" i="15" s="1"/>
  <c r="Q24" i="11"/>
  <c r="R24" i="11" s="1"/>
  <c r="O18" i="13"/>
  <c r="AD59" i="1" l="1"/>
  <c r="C13" i="16" s="1"/>
  <c r="AF31" i="15"/>
  <c r="C17" i="16" s="1"/>
  <c r="R31" i="11"/>
  <c r="C15" i="16" s="1"/>
  <c r="O31" i="13"/>
  <c r="C16" i="16" s="1"/>
  <c r="AH31" i="5"/>
  <c r="C11" i="16" s="1"/>
  <c r="X31" i="8"/>
  <c r="C14" i="16" s="1"/>
  <c r="C21" i="16" l="1"/>
  <c r="C22" i="16" s="1"/>
  <c r="C24" i="16" s="1"/>
</calcChain>
</file>

<file path=xl/sharedStrings.xml><?xml version="1.0" encoding="utf-8"?>
<sst xmlns="http://schemas.openxmlformats.org/spreadsheetml/2006/main" count="456" uniqueCount="228">
  <si>
    <t>Kettle Reboiler</t>
    <phoneticPr fontId="1"/>
  </si>
  <si>
    <t>K1</t>
    <phoneticPr fontId="1"/>
  </si>
  <si>
    <t>Fixed Tube Sheet or U-Tube</t>
    <phoneticPr fontId="1"/>
  </si>
  <si>
    <t>K2</t>
    <phoneticPr fontId="1"/>
  </si>
  <si>
    <t>K3</t>
    <phoneticPr fontId="1"/>
  </si>
  <si>
    <t>C1</t>
    <phoneticPr fontId="1"/>
  </si>
  <si>
    <t>C2</t>
    <phoneticPr fontId="1"/>
  </si>
  <si>
    <t>C3</t>
    <phoneticPr fontId="1"/>
  </si>
  <si>
    <t>B1</t>
    <phoneticPr fontId="1"/>
  </si>
  <si>
    <t>B2</t>
    <phoneticPr fontId="1"/>
  </si>
  <si>
    <t>Amin</t>
    <phoneticPr fontId="1"/>
  </si>
  <si>
    <t>Amax</t>
    <phoneticPr fontId="1"/>
  </si>
  <si>
    <t>Pmax</t>
    <phoneticPr fontId="1"/>
  </si>
  <si>
    <t>Shell</t>
    <phoneticPr fontId="1"/>
  </si>
  <si>
    <t>Tube</t>
    <phoneticPr fontId="1"/>
  </si>
  <si>
    <t>CS</t>
    <phoneticPr fontId="1"/>
  </si>
  <si>
    <t>CS</t>
    <phoneticPr fontId="1"/>
  </si>
  <si>
    <t>SS</t>
    <phoneticPr fontId="1"/>
  </si>
  <si>
    <t>SS</t>
    <phoneticPr fontId="1"/>
  </si>
  <si>
    <t>Item Number</t>
    <phoneticPr fontId="1"/>
  </si>
  <si>
    <t>Heat Transfer Area (m2)</t>
    <phoneticPr fontId="1"/>
  </si>
  <si>
    <t>Fixed Tube Sheet or U-Tube (Yes=1, No=0)</t>
    <phoneticPr fontId="1"/>
  </si>
  <si>
    <t>Floating Head (Yes=1, No=0)</t>
    <phoneticPr fontId="1"/>
  </si>
  <si>
    <t>Cp: Purchase Cost Assuming Ambient Operating Pressure and Carbon Steel Construction. [$]</t>
    <phoneticPr fontId="1"/>
  </si>
  <si>
    <t>Cp for F.T. or U-T</t>
    <phoneticPr fontId="1"/>
  </si>
  <si>
    <t xml:space="preserve">Cp for F. H. </t>
    <phoneticPr fontId="1"/>
  </si>
  <si>
    <t>Kettle Reboiler</t>
  </si>
  <si>
    <t>Kettle Reboiler (Yes=1, No=0)</t>
    <phoneticPr fontId="1"/>
  </si>
  <si>
    <t>Cp for K.B.</t>
    <phoneticPr fontId="1"/>
  </si>
  <si>
    <t>Floating Head</t>
  </si>
  <si>
    <t>No</t>
    <phoneticPr fontId="1"/>
  </si>
  <si>
    <t>Heat Exchanger Type</t>
    <phoneticPr fontId="1"/>
  </si>
  <si>
    <t>C1(only tube&gt;11bar)</t>
    <phoneticPr fontId="1"/>
  </si>
  <si>
    <t>C2(only tube&gt;11bar)</t>
    <phoneticPr fontId="1"/>
  </si>
  <si>
    <t>Shell or Both Shell Tube  Operating  Pressure &gt;10 [barg] (Yes=1, No=0)</t>
    <phoneticPr fontId="1"/>
  </si>
  <si>
    <t>Only Tube Operating Pressure &gt;10[barg] (Yes=1, No=0)</t>
    <phoneticPr fontId="1"/>
  </si>
  <si>
    <t>Shell and Tube Operating Pressure &lt;10[barg] (Yes=1, No=0)</t>
    <phoneticPr fontId="1"/>
  </si>
  <si>
    <t>Fp case 2</t>
    <phoneticPr fontId="1"/>
  </si>
  <si>
    <t>Fp: Case 3</t>
    <phoneticPr fontId="1"/>
  </si>
  <si>
    <t>Fp case 1</t>
    <phoneticPr fontId="1"/>
  </si>
  <si>
    <t>Fp: Pressure Factor</t>
    <phoneticPr fontId="1"/>
  </si>
  <si>
    <t>C3(only Tube&gt;11bar)</t>
    <phoneticPr fontId="1"/>
  </si>
  <si>
    <t>Shell Material</t>
    <phoneticPr fontId="1"/>
  </si>
  <si>
    <t>Tube Material</t>
    <phoneticPr fontId="1"/>
  </si>
  <si>
    <t>CS</t>
  </si>
  <si>
    <t>CS-CS case</t>
    <phoneticPr fontId="1"/>
  </si>
  <si>
    <t>CS-SS case</t>
    <phoneticPr fontId="1"/>
  </si>
  <si>
    <t>SS-SS case</t>
    <phoneticPr fontId="1"/>
  </si>
  <si>
    <t>FM: Material Factor</t>
    <phoneticPr fontId="1"/>
  </si>
  <si>
    <t>Bare Module Cost [$]</t>
    <phoneticPr fontId="1"/>
  </si>
  <si>
    <t>Vertical Orientation</t>
    <phoneticPr fontId="1"/>
  </si>
  <si>
    <t>k1</t>
    <phoneticPr fontId="1"/>
  </si>
  <si>
    <t>k2</t>
    <phoneticPr fontId="1"/>
  </si>
  <si>
    <t>k3</t>
    <phoneticPr fontId="1"/>
  </si>
  <si>
    <t>Lmin</t>
    <phoneticPr fontId="1"/>
  </si>
  <si>
    <t>Lmax</t>
    <phoneticPr fontId="1"/>
  </si>
  <si>
    <t>Lmax (m)</t>
    <phoneticPr fontId="1"/>
  </si>
  <si>
    <t>Lmin (m)</t>
    <phoneticPr fontId="1"/>
  </si>
  <si>
    <t>Dia (m)</t>
    <phoneticPr fontId="1"/>
  </si>
  <si>
    <t>Horizontal Orientation</t>
    <phoneticPr fontId="1"/>
  </si>
  <si>
    <t>H and V</t>
    <phoneticPr fontId="1"/>
  </si>
  <si>
    <t>Pmax [barg]</t>
    <phoneticPr fontId="1"/>
  </si>
  <si>
    <t>B1</t>
    <phoneticPr fontId="1"/>
  </si>
  <si>
    <t>B2</t>
    <phoneticPr fontId="1"/>
  </si>
  <si>
    <t>Vertical</t>
    <phoneticPr fontId="1"/>
  </si>
  <si>
    <t>Horizontal</t>
    <phoneticPr fontId="1"/>
  </si>
  <si>
    <t>Type</t>
    <phoneticPr fontId="1"/>
  </si>
  <si>
    <t>Diameter[m]</t>
    <phoneticPr fontId="1"/>
  </si>
  <si>
    <t>Horizontal=1,OW=0</t>
    <phoneticPr fontId="1"/>
  </si>
  <si>
    <t>Vertical=1,
OW=0</t>
    <phoneticPr fontId="1"/>
  </si>
  <si>
    <t>Vertical Mini Length [m]</t>
    <phoneticPr fontId="1"/>
  </si>
  <si>
    <t>Vertical Max Length [m]</t>
    <phoneticPr fontId="1"/>
  </si>
  <si>
    <t>Horizontal Mini Length [m]</t>
    <phoneticPr fontId="1"/>
  </si>
  <si>
    <t>Horizontal Max Length [m]</t>
    <phoneticPr fontId="1"/>
  </si>
  <si>
    <t>Maximum Length [m]</t>
    <phoneticPr fontId="1"/>
  </si>
  <si>
    <t>Minimum Length [m]</t>
    <phoneticPr fontId="1"/>
  </si>
  <si>
    <t>Vessel Length[m]</t>
    <phoneticPr fontId="1"/>
  </si>
  <si>
    <t>k1</t>
    <phoneticPr fontId="1"/>
  </si>
  <si>
    <t>k2</t>
    <phoneticPr fontId="1"/>
  </si>
  <si>
    <t>k3</t>
    <phoneticPr fontId="1"/>
  </si>
  <si>
    <t xml:space="preserve">Shell Operating Pressure [bar(g)] </t>
    <phoneticPr fontId="1"/>
  </si>
  <si>
    <t>Tube Operating Pressure [bar(g)]</t>
    <phoneticPr fontId="1"/>
  </si>
  <si>
    <t>Overall Operating Pressure [bar(g)]</t>
    <phoneticPr fontId="1"/>
  </si>
  <si>
    <t>Operating Pressure [barg]</t>
    <phoneticPr fontId="1"/>
  </si>
  <si>
    <t>Pressure Case (&lt;-0.5: Yes=1)</t>
    <phoneticPr fontId="1"/>
  </si>
  <si>
    <t>Pressure Case (-0.5&lt;P&lt;3.7: Yes=1)</t>
    <phoneticPr fontId="1"/>
  </si>
  <si>
    <t>Pressure Case (3.7&lt;P&lt;400: Yes=1)</t>
    <phoneticPr fontId="1"/>
  </si>
  <si>
    <t>PF case1</t>
    <phoneticPr fontId="1"/>
  </si>
  <si>
    <t>PF case 2</t>
    <phoneticPr fontId="1"/>
  </si>
  <si>
    <t>PF case3</t>
    <phoneticPr fontId="1"/>
  </si>
  <si>
    <t>Pressure for Calculate PF</t>
    <phoneticPr fontId="1"/>
  </si>
  <si>
    <t>FP: Pressure Factor</t>
    <phoneticPr fontId="1"/>
  </si>
  <si>
    <t>Material</t>
    <phoneticPr fontId="1"/>
  </si>
  <si>
    <t>SS</t>
  </si>
  <si>
    <t>Material Case CS</t>
    <phoneticPr fontId="1"/>
  </si>
  <si>
    <t>Material Case SS</t>
    <phoneticPr fontId="1"/>
  </si>
  <si>
    <t>No.</t>
    <phoneticPr fontId="1"/>
  </si>
  <si>
    <t>Tower Item Number</t>
    <phoneticPr fontId="1"/>
  </si>
  <si>
    <t>Dia. [m]</t>
    <phoneticPr fontId="1"/>
  </si>
  <si>
    <t>Cp: Purchase Cost Assuming Carbon Steel Construction. [$/Tray]</t>
    <phoneticPr fontId="1"/>
  </si>
  <si>
    <t>Number of Trays</t>
    <phoneticPr fontId="1"/>
  </si>
  <si>
    <t>Case 1&lt;N&lt;10</t>
    <phoneticPr fontId="1"/>
  </si>
  <si>
    <t>Case 10&lt;N&lt;20</t>
    <phoneticPr fontId="1"/>
  </si>
  <si>
    <t>Case N&gt;20</t>
    <phoneticPr fontId="1"/>
  </si>
  <si>
    <t>case1</t>
    <phoneticPr fontId="1"/>
  </si>
  <si>
    <t>case2</t>
    <phoneticPr fontId="1"/>
  </si>
  <si>
    <t>Case3</t>
    <phoneticPr fontId="1"/>
  </si>
  <si>
    <t>Fq: Quantity Factor</t>
    <phoneticPr fontId="1"/>
  </si>
  <si>
    <t>Bare Module Cost [$]</t>
  </si>
  <si>
    <t>CS case</t>
    <phoneticPr fontId="1"/>
  </si>
  <si>
    <t>SS case</t>
    <phoneticPr fontId="1"/>
  </si>
  <si>
    <t>Centrifugal</t>
    <phoneticPr fontId="1"/>
  </si>
  <si>
    <t>k2</t>
    <phoneticPr fontId="1"/>
  </si>
  <si>
    <t>k3</t>
    <phoneticPr fontId="1"/>
  </si>
  <si>
    <t>Ws max [KW]</t>
    <phoneticPr fontId="1"/>
  </si>
  <si>
    <t>Ws mini [KW]</t>
    <phoneticPr fontId="1"/>
  </si>
  <si>
    <t>P max[barg]</t>
    <phoneticPr fontId="1"/>
  </si>
  <si>
    <t>C1</t>
    <phoneticPr fontId="1"/>
  </si>
  <si>
    <t>B1</t>
    <phoneticPr fontId="1"/>
  </si>
  <si>
    <t>B2</t>
    <phoneticPr fontId="1"/>
  </si>
  <si>
    <t>C2</t>
    <phoneticPr fontId="1"/>
  </si>
  <si>
    <t>C3</t>
    <phoneticPr fontId="1"/>
  </si>
  <si>
    <t>No.</t>
    <phoneticPr fontId="1"/>
  </si>
  <si>
    <t>Item Number</t>
    <phoneticPr fontId="1"/>
  </si>
  <si>
    <t>Pump Type</t>
    <phoneticPr fontId="1"/>
  </si>
  <si>
    <t>Type R</t>
    <phoneticPr fontId="1"/>
  </si>
  <si>
    <t>Type C</t>
    <phoneticPr fontId="1"/>
  </si>
  <si>
    <t>Reciprocating</t>
    <phoneticPr fontId="1"/>
  </si>
  <si>
    <t>K1</t>
    <phoneticPr fontId="1"/>
  </si>
  <si>
    <t>K2</t>
    <phoneticPr fontId="1"/>
  </si>
  <si>
    <t>K3</t>
    <phoneticPr fontId="1"/>
  </si>
  <si>
    <t>Centrifugal</t>
  </si>
  <si>
    <t>Shaft Power [KW]</t>
    <phoneticPr fontId="1"/>
  </si>
  <si>
    <t>Number of Pumps</t>
    <phoneticPr fontId="1"/>
  </si>
  <si>
    <t>Suction Pressure [barg]</t>
    <phoneticPr fontId="1"/>
  </si>
  <si>
    <t>Cp: Purchase Cost Assuming 10[barg] Suction Pressure and Cast Iron. [$]</t>
    <phoneticPr fontId="1"/>
  </si>
  <si>
    <t>Pressure to Calculate</t>
    <phoneticPr fontId="1"/>
  </si>
  <si>
    <t>CastIron</t>
  </si>
  <si>
    <t>CastIron</t>
    <phoneticPr fontId="1"/>
  </si>
  <si>
    <t>CastSteel</t>
    <phoneticPr fontId="1"/>
  </si>
  <si>
    <t>SS</t>
    <phoneticPr fontId="1"/>
  </si>
  <si>
    <t>Reciprocating</t>
    <phoneticPr fontId="1"/>
  </si>
  <si>
    <t>Centrifugal</t>
    <phoneticPr fontId="1"/>
  </si>
  <si>
    <t>Cast Iron</t>
    <phoneticPr fontId="1"/>
  </si>
  <si>
    <t>Cast Steel</t>
    <phoneticPr fontId="1"/>
  </si>
  <si>
    <t>Material</t>
    <phoneticPr fontId="1"/>
  </si>
  <si>
    <t>material case1</t>
    <phoneticPr fontId="1"/>
  </si>
  <si>
    <t>material case2</t>
    <phoneticPr fontId="1"/>
  </si>
  <si>
    <t>material case3</t>
    <phoneticPr fontId="1"/>
  </si>
  <si>
    <t>K2</t>
    <phoneticPr fontId="1"/>
  </si>
  <si>
    <t>K3</t>
    <phoneticPr fontId="1"/>
  </si>
  <si>
    <t>Wfmin</t>
    <phoneticPr fontId="1"/>
  </si>
  <si>
    <t>Wfmax</t>
    <phoneticPr fontId="1"/>
  </si>
  <si>
    <t>Recipro</t>
    <phoneticPr fontId="1"/>
  </si>
  <si>
    <t>Wfmin</t>
    <phoneticPr fontId="1"/>
  </si>
  <si>
    <t>Wfmax</t>
    <phoneticPr fontId="1"/>
  </si>
  <si>
    <t>F_BM</t>
    <phoneticPr fontId="1"/>
  </si>
  <si>
    <t>Fluid Power [kW]</t>
    <phoneticPr fontId="1"/>
  </si>
  <si>
    <t>Purchase Base Cost [$]</t>
    <phoneticPr fontId="1"/>
  </si>
  <si>
    <t>Electric</t>
  </si>
  <si>
    <t>Electric</t>
    <phoneticPr fontId="1"/>
  </si>
  <si>
    <t>Gas Turbine</t>
    <phoneticPr fontId="1"/>
  </si>
  <si>
    <t>Steam Turbine</t>
    <phoneticPr fontId="1"/>
  </si>
  <si>
    <t>Ws mini [kW]</t>
    <phoneticPr fontId="1"/>
  </si>
  <si>
    <t>Ws Max [kW]</t>
    <phoneticPr fontId="1"/>
  </si>
  <si>
    <t>GT</t>
    <phoneticPr fontId="1"/>
  </si>
  <si>
    <t>ST</t>
    <phoneticPr fontId="1"/>
  </si>
  <si>
    <t>Ws Min [kW]</t>
    <phoneticPr fontId="1"/>
  </si>
  <si>
    <t>Purchase Base Cost [$]</t>
    <phoneticPr fontId="1"/>
  </si>
  <si>
    <t>Shaft Power [kW]</t>
    <phoneticPr fontId="1"/>
  </si>
  <si>
    <t>Bare Module Cosr [$]</t>
    <phoneticPr fontId="1"/>
  </si>
  <si>
    <t>Reactive Process Heater (Reformer Furnace)</t>
  </si>
  <si>
    <t>Reactive Process Heater (Reformer Furnace)</t>
    <phoneticPr fontId="1"/>
  </si>
  <si>
    <t>Reactive Process Heater (Pyrolysis Furnace)</t>
    <phoneticPr fontId="1"/>
  </si>
  <si>
    <t>Non-Reactive Process Heater</t>
    <phoneticPr fontId="1"/>
  </si>
  <si>
    <t>Q Min [kW]</t>
    <phoneticPr fontId="1"/>
  </si>
  <si>
    <t>Q Max [kW]</t>
    <phoneticPr fontId="1"/>
  </si>
  <si>
    <t>P Max [barg]</t>
    <phoneticPr fontId="1"/>
  </si>
  <si>
    <t>Fp P=10 [barg]</t>
    <phoneticPr fontId="1"/>
  </si>
  <si>
    <t>Fp P=50 [barg]</t>
    <phoneticPr fontId="1"/>
  </si>
  <si>
    <t>Fp P=100 [barg]</t>
    <phoneticPr fontId="1"/>
  </si>
  <si>
    <t>Fp P=200 [barg]</t>
    <phoneticPr fontId="1"/>
  </si>
  <si>
    <t>F_BM CS</t>
    <phoneticPr fontId="1"/>
  </si>
  <si>
    <t>F_BM Alloy</t>
    <phoneticPr fontId="1"/>
  </si>
  <si>
    <t>F_BM SS</t>
    <phoneticPr fontId="1"/>
  </si>
  <si>
    <t xml:space="preserve">Reformer </t>
    <phoneticPr fontId="1"/>
  </si>
  <si>
    <t>Pyrolysis</t>
    <phoneticPr fontId="1"/>
  </si>
  <si>
    <t>Non-Reactive</t>
    <phoneticPr fontId="1"/>
  </si>
  <si>
    <t>Heat Duty [kW]</t>
    <phoneticPr fontId="1"/>
  </si>
  <si>
    <t>Order of Pressure [barg]</t>
    <phoneticPr fontId="1"/>
  </si>
  <si>
    <t>FP_10</t>
    <phoneticPr fontId="1"/>
  </si>
  <si>
    <t>FP_50</t>
    <phoneticPr fontId="1"/>
  </si>
  <si>
    <t>FP_100</t>
    <phoneticPr fontId="1"/>
  </si>
  <si>
    <t>FP_200</t>
    <phoneticPr fontId="1"/>
  </si>
  <si>
    <t>Alloy</t>
    <phoneticPr fontId="1"/>
  </si>
  <si>
    <t>Ally</t>
    <phoneticPr fontId="1"/>
  </si>
  <si>
    <t>FM CS</t>
    <phoneticPr fontId="1"/>
  </si>
  <si>
    <t>FM Alloy</t>
    <phoneticPr fontId="1"/>
  </si>
  <si>
    <t>FM SS</t>
    <phoneticPr fontId="1"/>
  </si>
  <si>
    <t>Material Factor</t>
    <phoneticPr fontId="1"/>
  </si>
  <si>
    <t>Bare Module Cost [$]</t>
    <phoneticPr fontId="1"/>
  </si>
  <si>
    <t>Pressure Factor</t>
    <phoneticPr fontId="1"/>
  </si>
  <si>
    <t>Equipment Category</t>
    <phoneticPr fontId="1"/>
  </si>
  <si>
    <t>Process Vessels</t>
    <phoneticPr fontId="1"/>
  </si>
  <si>
    <t>Heat Exchangers</t>
    <phoneticPr fontId="1"/>
  </si>
  <si>
    <t>Trays</t>
    <phoneticPr fontId="1"/>
  </si>
  <si>
    <t>Pump with Electric Driver</t>
    <phoneticPr fontId="1"/>
  </si>
  <si>
    <t>Compressor</t>
    <phoneticPr fontId="1"/>
  </si>
  <si>
    <t>Compressor Driver</t>
    <phoneticPr fontId="1"/>
  </si>
  <si>
    <t>Furnace</t>
    <phoneticPr fontId="1"/>
  </si>
  <si>
    <t>Total Bare Module Cost</t>
    <phoneticPr fontId="1"/>
  </si>
  <si>
    <t>Bare Module Cost (Equipment Direct and Indirect Cost:  CEPCI=382)</t>
    <phoneticPr fontId="1"/>
  </si>
  <si>
    <t>Plant Construction Cost Including 18% contingency</t>
    <phoneticPr fontId="1"/>
  </si>
  <si>
    <t>Example</t>
    <phoneticPr fontId="1"/>
  </si>
  <si>
    <t>Vertical</t>
  </si>
  <si>
    <t>Compressor Type</t>
    <phoneticPr fontId="1"/>
  </si>
  <si>
    <t>Ni_alloy</t>
    <phoneticPr fontId="1"/>
  </si>
  <si>
    <t>Material Case Ni_alloy</t>
    <phoneticPr fontId="1"/>
  </si>
  <si>
    <t>NI Alloy case</t>
    <phoneticPr fontId="1"/>
  </si>
  <si>
    <t>Ni_alloy</t>
  </si>
  <si>
    <t>CS-NI_alloy case</t>
    <phoneticPr fontId="1"/>
  </si>
  <si>
    <t>Ni_alloy-Ni_alloy case</t>
    <phoneticPr fontId="1"/>
  </si>
  <si>
    <t>CS</t>
    <phoneticPr fontId="1"/>
  </si>
  <si>
    <t>Ni_alloy</t>
    <phoneticPr fontId="1"/>
  </si>
  <si>
    <t>material case4</t>
    <phoneticPr fontId="1"/>
  </si>
  <si>
    <t>Chemical Engineering Plant Cost Index (CEPCI) in 2015</t>
    <phoneticPr fontId="1"/>
  </si>
  <si>
    <t>Plant Construction Cost in 2015</t>
    <phoneticPr fontId="1"/>
  </si>
  <si>
    <t>Other Units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</si>
</sst>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4" formatCode="\$#,##0_);[Red]\(\$#,##0\)"/>
    <numFmt numFmtId="176" formatCode="\$#,##0;\-\$#,##0"/>
    <numFmt numFmtId="177" formatCode="0.0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0" fillId="3" borderId="1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3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3" borderId="2" xfId="0" applyNumberFormat="1" applyFill="1" applyBorder="1" applyAlignment="1">
      <alignment vertical="center"/>
    </xf>
    <xf numFmtId="176" fontId="0" fillId="0" borderId="3" xfId="0" applyNumberFormat="1" applyBorder="1" applyAlignment="1">
      <alignment vertical="center"/>
    </xf>
    <xf numFmtId="24" fontId="0" fillId="3" borderId="1" xfId="0" applyNumberFormat="1" applyFill="1" applyBorder="1">
      <alignment vertical="center"/>
    </xf>
    <xf numFmtId="24" fontId="0" fillId="3" borderId="2" xfId="0" applyNumberFormat="1" applyFill="1" applyBorder="1">
      <alignment vertical="center"/>
    </xf>
    <xf numFmtId="24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0" fillId="3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vertical="center" wrapText="1"/>
    </xf>
    <xf numFmtId="24" fontId="0" fillId="0" borderId="1" xfId="0" applyNumberFormat="1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24" fontId="0" fillId="0" borderId="6" xfId="0" applyNumberFormat="1" applyBorder="1">
      <alignment vertical="center"/>
    </xf>
    <xf numFmtId="24" fontId="0" fillId="3" borderId="5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24" fontId="0" fillId="4" borderId="1" xfId="0" applyNumberForma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177" fontId="0" fillId="4" borderId="1" xfId="0" applyNumberFormat="1" applyFill="1" applyBorder="1">
      <alignment vertical="center"/>
    </xf>
    <xf numFmtId="24" fontId="0" fillId="0" borderId="5" xfId="0" applyNumberFormat="1" applyFill="1" applyBorder="1">
      <alignment vertical="center"/>
    </xf>
    <xf numFmtId="24" fontId="0" fillId="0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C24"/>
  <sheetViews>
    <sheetView tabSelected="1" topLeftCell="A9" zoomScale="130" zoomScaleNormal="130" workbookViewId="0">
      <selection activeCell="E18" sqref="E18"/>
    </sheetView>
  </sheetViews>
  <sheetFormatPr defaultRowHeight="13.5" x14ac:dyDescent="0.15"/>
  <cols>
    <col min="2" max="2" width="23.875" style="2" customWidth="1"/>
    <col min="3" max="3" width="26.25" customWidth="1"/>
  </cols>
  <sheetData>
    <row r="10" spans="2:3" s="2" customFormat="1" ht="41.25" thickBot="1" x14ac:dyDescent="0.2">
      <c r="B10" s="32" t="s">
        <v>202</v>
      </c>
      <c r="C10" s="32" t="s">
        <v>211</v>
      </c>
    </row>
    <row r="11" spans="2:3" x14ac:dyDescent="0.15">
      <c r="B11" s="31" t="s">
        <v>203</v>
      </c>
      <c r="C11" s="41">
        <f>ProcessVessel!AH31</f>
        <v>0</v>
      </c>
    </row>
    <row r="12" spans="2:3" x14ac:dyDescent="0.15">
      <c r="B12" s="6" t="s">
        <v>205</v>
      </c>
      <c r="C12" s="42">
        <f>Sieve_Trays!R21</f>
        <v>0</v>
      </c>
    </row>
    <row r="13" spans="2:3" x14ac:dyDescent="0.15">
      <c r="B13" s="6" t="s">
        <v>204</v>
      </c>
      <c r="C13" s="42">
        <f>HeatExchanger!AD59</f>
        <v>0</v>
      </c>
    </row>
    <row r="14" spans="2:3" x14ac:dyDescent="0.15">
      <c r="B14" s="6" t="s">
        <v>206</v>
      </c>
      <c r="C14" s="42">
        <f>'Pump+EL_DRV'!X31</f>
        <v>0</v>
      </c>
    </row>
    <row r="15" spans="2:3" x14ac:dyDescent="0.15">
      <c r="B15" s="6" t="s">
        <v>207</v>
      </c>
      <c r="C15" s="42">
        <f>Compressor!R31</f>
        <v>0</v>
      </c>
    </row>
    <row r="16" spans="2:3" x14ac:dyDescent="0.15">
      <c r="B16" s="6" t="s">
        <v>208</v>
      </c>
      <c r="C16" s="42">
        <f>Driver_for_Compressor!O31</f>
        <v>0</v>
      </c>
    </row>
    <row r="17" spans="2:3" x14ac:dyDescent="0.15">
      <c r="B17" s="6" t="s">
        <v>209</v>
      </c>
      <c r="C17" s="42">
        <f>Furnace!AF31</f>
        <v>0</v>
      </c>
    </row>
    <row r="18" spans="2:3" x14ac:dyDescent="0.15">
      <c r="B18" s="6"/>
      <c r="C18" s="30"/>
    </row>
    <row r="19" spans="2:3" x14ac:dyDescent="0.15">
      <c r="B19" s="6" t="s">
        <v>227</v>
      </c>
      <c r="C19" s="36">
        <v>0</v>
      </c>
    </row>
    <row r="20" spans="2:3" ht="14.25" thickBot="1" x14ac:dyDescent="0.2">
      <c r="B20" s="32"/>
      <c r="C20" s="33"/>
    </row>
    <row r="21" spans="2:3" x14ac:dyDescent="0.15">
      <c r="B21" s="31" t="s">
        <v>210</v>
      </c>
      <c r="C21" s="34">
        <f>SUM(C11:C20)</f>
        <v>0</v>
      </c>
    </row>
    <row r="22" spans="2:3" ht="27" x14ac:dyDescent="0.15">
      <c r="B22" s="6" t="s">
        <v>212</v>
      </c>
      <c r="C22" s="22">
        <f>1.18*C21</f>
        <v>0</v>
      </c>
    </row>
    <row r="23" spans="2:3" ht="27" x14ac:dyDescent="0.15">
      <c r="B23" s="6" t="s">
        <v>225</v>
      </c>
      <c r="C23" s="40">
        <v>553.9</v>
      </c>
    </row>
    <row r="24" spans="2:3" ht="27" x14ac:dyDescent="0.15">
      <c r="B24" s="6" t="s">
        <v>226</v>
      </c>
      <c r="C24" s="22">
        <f>C22*C23/382</f>
        <v>0</v>
      </c>
    </row>
  </sheetData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H40" sqref="H40"/>
    </sheetView>
  </sheetViews>
  <sheetFormatPr defaultRowHeight="13.5" x14ac:dyDescent="0.15"/>
  <cols>
    <col min="1" max="1" width="27" customWidth="1"/>
    <col min="8" max="8" width="10.75" customWidth="1"/>
    <col min="9" max="9" width="10.25" customWidth="1"/>
    <col min="10" max="10" width="11.5" customWidth="1"/>
  </cols>
  <sheetData>
    <row r="1" spans="1:15" s="2" customFormat="1" ht="27" x14ac:dyDescent="0.15"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32</v>
      </c>
      <c r="I1" s="2" t="s">
        <v>33</v>
      </c>
      <c r="J1" s="2" t="s">
        <v>41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</row>
    <row r="2" spans="1:15" x14ac:dyDescent="0.15">
      <c r="A2" s="1" t="s">
        <v>2</v>
      </c>
      <c r="B2">
        <v>3.2138</v>
      </c>
      <c r="C2">
        <v>0.26879999999999998</v>
      </c>
      <c r="D2">
        <v>7.961E-2</v>
      </c>
      <c r="E2" s="37">
        <v>-6.4990000000000006E-2</v>
      </c>
      <c r="F2" s="37">
        <v>5.0250000000000003E-2</v>
      </c>
      <c r="G2" s="37">
        <v>1.474E-2</v>
      </c>
      <c r="H2" s="37">
        <v>-4.1390000000000003E-2</v>
      </c>
      <c r="I2" s="37">
        <v>4.1390000000000003E-2</v>
      </c>
      <c r="J2" s="37">
        <v>0</v>
      </c>
      <c r="K2" s="37">
        <v>1.8</v>
      </c>
      <c r="L2" s="37">
        <v>1.5</v>
      </c>
      <c r="M2">
        <v>4</v>
      </c>
      <c r="N2">
        <v>900</v>
      </c>
      <c r="O2">
        <v>140</v>
      </c>
    </row>
    <row r="3" spans="1:15" x14ac:dyDescent="0.15">
      <c r="A3" s="1" t="str">
        <f>"Floating Head"</f>
        <v>Floating Head</v>
      </c>
      <c r="B3">
        <v>3.4338000000000002</v>
      </c>
      <c r="C3">
        <v>0.14449999999999999</v>
      </c>
      <c r="D3">
        <v>0.1079</v>
      </c>
      <c r="E3" s="37"/>
      <c r="F3" s="37"/>
      <c r="G3" s="37"/>
      <c r="H3" s="37"/>
      <c r="I3" s="37"/>
      <c r="J3" s="37"/>
      <c r="K3" s="37"/>
      <c r="L3" s="37"/>
      <c r="M3">
        <v>10</v>
      </c>
      <c r="N3">
        <v>900</v>
      </c>
      <c r="O3">
        <v>140</v>
      </c>
    </row>
    <row r="4" spans="1:15" x14ac:dyDescent="0.15">
      <c r="A4" s="1" t="s">
        <v>0</v>
      </c>
      <c r="B4">
        <v>3.5638000000000001</v>
      </c>
      <c r="C4">
        <v>0.19059999999999999</v>
      </c>
      <c r="D4">
        <v>0.11070000000000001</v>
      </c>
      <c r="E4" s="37"/>
      <c r="F4" s="37"/>
      <c r="G4" s="37"/>
      <c r="H4" s="37"/>
      <c r="I4" s="37"/>
      <c r="J4" s="37"/>
      <c r="K4" s="37"/>
      <c r="L4" s="37"/>
      <c r="M4">
        <v>10</v>
      </c>
      <c r="N4">
        <v>100</v>
      </c>
      <c r="O4">
        <v>140</v>
      </c>
    </row>
  </sheetData>
  <mergeCells count="8">
    <mergeCell ref="K2:K4"/>
    <mergeCell ref="L2:L4"/>
    <mergeCell ref="E2:E4"/>
    <mergeCell ref="F2:F4"/>
    <mergeCell ref="G2:G4"/>
    <mergeCell ref="H2:H4"/>
    <mergeCell ref="I2:I4"/>
    <mergeCell ref="J2:J4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M8" sqref="M8"/>
    </sheetView>
  </sheetViews>
  <sheetFormatPr defaultRowHeight="13.5" x14ac:dyDescent="0.15"/>
  <cols>
    <col min="1" max="1" width="27.5" customWidth="1"/>
  </cols>
  <sheetData>
    <row r="1" spans="1:6" x14ac:dyDescent="0.15">
      <c r="A1" s="3" t="s">
        <v>13</v>
      </c>
      <c r="B1" s="4" t="s">
        <v>15</v>
      </c>
      <c r="C1" s="4" t="s">
        <v>16</v>
      </c>
      <c r="D1" s="4" t="s">
        <v>17</v>
      </c>
      <c r="E1" s="17" t="s">
        <v>222</v>
      </c>
      <c r="F1" s="17" t="s">
        <v>223</v>
      </c>
    </row>
    <row r="2" spans="1:6" x14ac:dyDescent="0.15">
      <c r="A2" s="3" t="s">
        <v>14</v>
      </c>
      <c r="B2" s="4" t="s">
        <v>16</v>
      </c>
      <c r="C2" s="4" t="s">
        <v>17</v>
      </c>
      <c r="D2" s="4" t="s">
        <v>18</v>
      </c>
      <c r="E2" s="17" t="s">
        <v>223</v>
      </c>
      <c r="F2" s="17" t="s">
        <v>223</v>
      </c>
    </row>
    <row r="3" spans="1:6" x14ac:dyDescent="0.15">
      <c r="A3" s="5" t="s">
        <v>2</v>
      </c>
      <c r="B3" s="39">
        <v>1</v>
      </c>
      <c r="C3" s="39">
        <v>1.7</v>
      </c>
      <c r="D3" s="39">
        <v>3</v>
      </c>
      <c r="E3" s="39">
        <v>2.8</v>
      </c>
      <c r="F3" s="39">
        <v>3.8</v>
      </c>
    </row>
    <row r="4" spans="1:6" x14ac:dyDescent="0.15">
      <c r="A4" s="5" t="str">
        <f>"Floating Head"</f>
        <v>Floating Head</v>
      </c>
      <c r="B4" s="39"/>
      <c r="C4" s="39"/>
      <c r="D4" s="39"/>
      <c r="E4" s="39"/>
      <c r="F4" s="39"/>
    </row>
    <row r="5" spans="1:6" x14ac:dyDescent="0.15">
      <c r="A5" s="5" t="s">
        <v>0</v>
      </c>
      <c r="B5" s="39"/>
      <c r="C5" s="39"/>
      <c r="D5" s="39"/>
      <c r="E5" s="39"/>
      <c r="F5" s="39"/>
    </row>
  </sheetData>
  <mergeCells count="5">
    <mergeCell ref="F3:F5"/>
    <mergeCell ref="B3:B5"/>
    <mergeCell ref="C3:C5"/>
    <mergeCell ref="D3:D5"/>
    <mergeCell ref="E3:E5"/>
  </mergeCells>
  <phoneticPr fontId="1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B2" sqref="B2"/>
    </sheetView>
  </sheetViews>
  <sheetFormatPr defaultRowHeight="13.5" x14ac:dyDescent="0.15"/>
  <cols>
    <col min="1" max="1" width="14.625" customWidth="1"/>
  </cols>
  <sheetData>
    <row r="1" spans="1:12" s="2" customFormat="1" ht="27" x14ac:dyDescent="0.15">
      <c r="B1" s="2" t="s">
        <v>51</v>
      </c>
      <c r="C1" s="2" t="s">
        <v>112</v>
      </c>
      <c r="D1" s="2" t="s">
        <v>113</v>
      </c>
      <c r="E1" s="2" t="s">
        <v>115</v>
      </c>
      <c r="F1" s="2" t="s">
        <v>114</v>
      </c>
      <c r="G1" s="2" t="s">
        <v>116</v>
      </c>
      <c r="H1" s="2" t="s">
        <v>117</v>
      </c>
      <c r="I1" s="2" t="s">
        <v>120</v>
      </c>
      <c r="J1" s="2" t="s">
        <v>121</v>
      </c>
      <c r="K1" s="2" t="s">
        <v>118</v>
      </c>
      <c r="L1" s="2" t="s">
        <v>119</v>
      </c>
    </row>
    <row r="2" spans="1:12" x14ac:dyDescent="0.15">
      <c r="A2" t="s">
        <v>127</v>
      </c>
      <c r="B2">
        <v>3.9411999999999998</v>
      </c>
      <c r="C2">
        <v>0.41699999999999998</v>
      </c>
      <c r="D2">
        <v>9.1410000000000005E-2</v>
      </c>
      <c r="E2">
        <v>0.01</v>
      </c>
      <c r="F2">
        <v>280</v>
      </c>
      <c r="G2">
        <v>1200</v>
      </c>
      <c r="H2">
        <v>0.312</v>
      </c>
      <c r="I2">
        <v>0.63200000000000001</v>
      </c>
      <c r="J2">
        <v>5.6000000000000001E-2</v>
      </c>
      <c r="K2">
        <v>1.8</v>
      </c>
      <c r="L2">
        <v>1.51</v>
      </c>
    </row>
    <row r="3" spans="1:12" x14ac:dyDescent="0.15">
      <c r="A3" t="s">
        <v>111</v>
      </c>
      <c r="B3">
        <v>3.5792999999999999</v>
      </c>
      <c r="C3">
        <v>0.32079999999999997</v>
      </c>
      <c r="D3">
        <v>2.8500000000000001E-2</v>
      </c>
      <c r="E3">
        <v>0.01</v>
      </c>
      <c r="F3">
        <v>250</v>
      </c>
      <c r="G3">
        <v>350</v>
      </c>
      <c r="H3">
        <v>0.16819999999999999</v>
      </c>
      <c r="I3">
        <v>0.34699999999999998</v>
      </c>
      <c r="J3">
        <v>0.48409999999999997</v>
      </c>
      <c r="K3">
        <v>1.8</v>
      </c>
      <c r="L3">
        <v>1.51</v>
      </c>
    </row>
  </sheetData>
  <phoneticPr fontId="1"/>
  <pageMargins left="0.75" right="0.75" top="1" bottom="1" header="0.51200000000000001" footer="0.5120000000000000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G13" sqref="G13"/>
    </sheetView>
  </sheetViews>
  <sheetFormatPr defaultRowHeight="13.5" x14ac:dyDescent="0.15"/>
  <cols>
    <col min="1" max="1" width="12.75" customWidth="1"/>
  </cols>
  <sheetData>
    <row r="1" spans="1:5" x14ac:dyDescent="0.15">
      <c r="B1" s="11" t="s">
        <v>143</v>
      </c>
      <c r="C1" s="11" t="s">
        <v>144</v>
      </c>
      <c r="D1" s="11" t="s">
        <v>140</v>
      </c>
      <c r="E1" s="11" t="s">
        <v>223</v>
      </c>
    </row>
    <row r="2" spans="1:5" x14ac:dyDescent="0.15">
      <c r="A2" t="s">
        <v>141</v>
      </c>
      <c r="B2">
        <v>1</v>
      </c>
      <c r="C2">
        <v>1.4</v>
      </c>
      <c r="D2">
        <v>1.9</v>
      </c>
      <c r="E2">
        <v>3.5</v>
      </c>
    </row>
    <row r="3" spans="1:5" x14ac:dyDescent="0.15">
      <c r="A3" t="s">
        <v>142</v>
      </c>
      <c r="B3">
        <v>1</v>
      </c>
      <c r="C3">
        <v>1.8</v>
      </c>
      <c r="D3">
        <v>2.4</v>
      </c>
      <c r="E3">
        <v>5</v>
      </c>
    </row>
  </sheetData>
  <phoneticPr fontId="1"/>
  <pageMargins left="0.75" right="0.75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K13" sqref="K13"/>
    </sheetView>
  </sheetViews>
  <sheetFormatPr defaultRowHeight="13.5" x14ac:dyDescent="0.15"/>
  <cols>
    <col min="1" max="1" width="17.125" customWidth="1"/>
  </cols>
  <sheetData>
    <row r="1" spans="1:9" x14ac:dyDescent="0.15">
      <c r="B1" t="s">
        <v>1</v>
      </c>
      <c r="C1" t="s">
        <v>149</v>
      </c>
      <c r="D1" t="s">
        <v>150</v>
      </c>
      <c r="E1" t="s">
        <v>151</v>
      </c>
      <c r="F1" t="s">
        <v>152</v>
      </c>
      <c r="G1" t="s">
        <v>16</v>
      </c>
      <c r="H1" t="s">
        <v>17</v>
      </c>
      <c r="I1" t="s">
        <v>223</v>
      </c>
    </row>
    <row r="2" spans="1:9" x14ac:dyDescent="0.15">
      <c r="A2" t="s">
        <v>111</v>
      </c>
      <c r="B2">
        <v>2.9944999999999999</v>
      </c>
      <c r="C2">
        <v>0.95420000000000005</v>
      </c>
      <c r="D2">
        <v>0</v>
      </c>
      <c r="E2">
        <v>50</v>
      </c>
      <c r="F2">
        <v>8000</v>
      </c>
      <c r="G2">
        <v>2.5</v>
      </c>
      <c r="H2">
        <v>6.3</v>
      </c>
      <c r="I2">
        <v>13</v>
      </c>
    </row>
    <row r="3" spans="1:9" x14ac:dyDescent="0.15">
      <c r="A3" t="s">
        <v>127</v>
      </c>
      <c r="B3">
        <v>2.9944999999999999</v>
      </c>
      <c r="C3">
        <v>0.95420000000000005</v>
      </c>
      <c r="D3">
        <v>0</v>
      </c>
      <c r="E3">
        <v>50</v>
      </c>
      <c r="F3">
        <v>8000</v>
      </c>
      <c r="G3">
        <v>2.9</v>
      </c>
      <c r="H3">
        <v>7.3</v>
      </c>
      <c r="I3">
        <v>15</v>
      </c>
    </row>
  </sheetData>
  <phoneticPr fontId="1"/>
  <pageMargins left="0.75" right="0.75" top="1" bottom="1" header="0.51200000000000001" footer="0.5120000000000000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2" sqref="A2:A4"/>
    </sheetView>
  </sheetViews>
  <sheetFormatPr defaultRowHeight="13.5" x14ac:dyDescent="0.15"/>
  <cols>
    <col min="1" max="1" width="14.625" customWidth="1"/>
  </cols>
  <sheetData>
    <row r="1" spans="1:7" s="2" customFormat="1" ht="27" x14ac:dyDescent="0.15">
      <c r="B1" s="2" t="s">
        <v>51</v>
      </c>
      <c r="C1" s="2" t="s">
        <v>52</v>
      </c>
      <c r="D1" s="2" t="s">
        <v>53</v>
      </c>
      <c r="E1" s="2" t="s">
        <v>163</v>
      </c>
      <c r="F1" s="2" t="s">
        <v>164</v>
      </c>
      <c r="G1" s="2" t="s">
        <v>156</v>
      </c>
    </row>
    <row r="2" spans="1:7" x14ac:dyDescent="0.15">
      <c r="A2" t="s">
        <v>160</v>
      </c>
      <c r="B2">
        <v>2.3006000000000002</v>
      </c>
      <c r="C2">
        <v>1.0947</v>
      </c>
      <c r="D2">
        <v>-0.1016</v>
      </c>
      <c r="E2">
        <v>3</v>
      </c>
      <c r="F2">
        <v>6000</v>
      </c>
      <c r="G2">
        <v>1.5</v>
      </c>
    </row>
    <row r="3" spans="1:7" x14ac:dyDescent="0.15">
      <c r="A3" t="s">
        <v>161</v>
      </c>
      <c r="B3">
        <v>3.4171</v>
      </c>
      <c r="C3">
        <v>0.61119999999999997</v>
      </c>
      <c r="D3">
        <v>0</v>
      </c>
      <c r="E3">
        <v>10</v>
      </c>
      <c r="F3">
        <v>15000</v>
      </c>
      <c r="G3">
        <v>3.5</v>
      </c>
    </row>
    <row r="4" spans="1:7" x14ac:dyDescent="0.15">
      <c r="A4" t="s">
        <v>162</v>
      </c>
      <c r="B4">
        <v>3.7222</v>
      </c>
      <c r="C4">
        <v>0.44009999999999999</v>
      </c>
      <c r="D4">
        <v>0</v>
      </c>
      <c r="E4">
        <v>100</v>
      </c>
      <c r="F4">
        <v>15000</v>
      </c>
      <c r="G4">
        <v>3.5</v>
      </c>
    </row>
  </sheetData>
  <phoneticPr fontId="1"/>
  <pageMargins left="0.75" right="0.75" top="1" bottom="1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C1" workbookViewId="0">
      <selection activeCell="I32" sqref="I32"/>
    </sheetView>
  </sheetViews>
  <sheetFormatPr defaultRowHeight="13.5" x14ac:dyDescent="0.15"/>
  <cols>
    <col min="1" max="1" width="22.75" style="2" customWidth="1"/>
  </cols>
  <sheetData>
    <row r="1" spans="1:14" s="2" customFormat="1" ht="27" x14ac:dyDescent="0.15">
      <c r="B1" s="2" t="s">
        <v>1</v>
      </c>
      <c r="C1" s="2" t="s">
        <v>3</v>
      </c>
      <c r="D1" s="2" t="s">
        <v>4</v>
      </c>
      <c r="E1" s="2" t="s">
        <v>175</v>
      </c>
      <c r="F1" s="2" t="s">
        <v>176</v>
      </c>
      <c r="G1" s="2" t="s">
        <v>177</v>
      </c>
      <c r="H1" s="2" t="s">
        <v>178</v>
      </c>
      <c r="I1" s="2" t="s">
        <v>179</v>
      </c>
      <c r="J1" s="2" t="s">
        <v>180</v>
      </c>
      <c r="K1" s="2" t="s">
        <v>181</v>
      </c>
      <c r="L1" s="2" t="s">
        <v>182</v>
      </c>
      <c r="M1" s="2" t="s">
        <v>183</v>
      </c>
      <c r="N1" s="2" t="s">
        <v>184</v>
      </c>
    </row>
    <row r="2" spans="1:14" ht="27" x14ac:dyDescent="0.15">
      <c r="A2" s="2" t="s">
        <v>172</v>
      </c>
      <c r="B2">
        <v>2.6379000000000001</v>
      </c>
      <c r="C2">
        <v>0.81789999999999996</v>
      </c>
      <c r="D2">
        <v>0</v>
      </c>
      <c r="E2">
        <v>3000</v>
      </c>
      <c r="F2">
        <v>150000</v>
      </c>
      <c r="G2">
        <v>200</v>
      </c>
      <c r="H2">
        <v>1</v>
      </c>
      <c r="I2">
        <v>1.05</v>
      </c>
      <c r="J2">
        <v>1.1499999999999999</v>
      </c>
      <c r="K2">
        <v>1.3</v>
      </c>
      <c r="L2">
        <v>2.1</v>
      </c>
      <c r="M2">
        <v>2.5</v>
      </c>
      <c r="N2">
        <v>2.7</v>
      </c>
    </row>
    <row r="3" spans="1:14" ht="27" x14ac:dyDescent="0.15">
      <c r="A3" s="2" t="s">
        <v>173</v>
      </c>
      <c r="B3">
        <v>2.5689000000000002</v>
      </c>
      <c r="C3">
        <v>0.80669999999999997</v>
      </c>
      <c r="D3">
        <v>0</v>
      </c>
      <c r="E3">
        <v>3000</v>
      </c>
      <c r="F3">
        <v>150000</v>
      </c>
      <c r="G3">
        <v>200</v>
      </c>
      <c r="H3">
        <v>1</v>
      </c>
      <c r="I3">
        <v>1.05</v>
      </c>
      <c r="J3">
        <v>1.1499999999999999</v>
      </c>
      <c r="K3">
        <v>1.3</v>
      </c>
      <c r="L3">
        <v>2.1</v>
      </c>
      <c r="M3">
        <v>2.5</v>
      </c>
      <c r="N3">
        <v>2.7</v>
      </c>
    </row>
    <row r="4" spans="1:14" ht="27" x14ac:dyDescent="0.15">
      <c r="A4" s="2" t="s">
        <v>174</v>
      </c>
      <c r="B4">
        <v>2.5526</v>
      </c>
      <c r="C4">
        <v>0.79620000000000002</v>
      </c>
      <c r="D4">
        <v>0</v>
      </c>
      <c r="E4">
        <v>3000</v>
      </c>
      <c r="F4">
        <v>150000</v>
      </c>
      <c r="G4">
        <v>200</v>
      </c>
      <c r="H4">
        <v>1</v>
      </c>
      <c r="I4">
        <v>1.1000000000000001</v>
      </c>
      <c r="J4">
        <v>1.2350000000000001</v>
      </c>
      <c r="K4">
        <v>1.4</v>
      </c>
      <c r="L4">
        <v>2.1</v>
      </c>
      <c r="M4">
        <v>2.5</v>
      </c>
      <c r="N4">
        <v>2.7</v>
      </c>
    </row>
  </sheetData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opLeftCell="A9" zoomScale="87" workbookViewId="0">
      <selection activeCell="M11" sqref="M11"/>
    </sheetView>
  </sheetViews>
  <sheetFormatPr defaultRowHeight="13.5" x14ac:dyDescent="0.15"/>
  <cols>
    <col min="1" max="1" width="5.5" customWidth="1"/>
    <col min="2" max="2" width="13.625" customWidth="1"/>
    <col min="3" max="3" width="10.75" customWidth="1"/>
    <col min="4" max="4" width="10.375" hidden="1" customWidth="1"/>
    <col min="5" max="5" width="11" hidden="1" customWidth="1"/>
    <col min="6" max="6" width="12.625" customWidth="1"/>
    <col min="7" max="10" width="9" hidden="1" customWidth="1"/>
    <col min="14" max="16" width="0" hidden="1" customWidth="1"/>
    <col min="17" max="17" width="18" customWidth="1"/>
    <col min="18" max="18" width="9.125" customWidth="1"/>
    <col min="19" max="25" width="0" hidden="1" customWidth="1"/>
    <col min="27" max="27" width="9" style="11"/>
    <col min="28" max="30" width="9" hidden="1" customWidth="1"/>
    <col min="32" max="33" width="9" hidden="1" customWidth="1"/>
    <col min="34" max="34" width="15.375" customWidth="1"/>
  </cols>
  <sheetData>
    <row r="1" spans="1:34" ht="16.5" hidden="1" customHeight="1" x14ac:dyDescent="0.15">
      <c r="C1" t="s">
        <v>64</v>
      </c>
      <c r="F1">
        <v>0.3</v>
      </c>
      <c r="AA1" s="11" t="s">
        <v>16</v>
      </c>
    </row>
    <row r="2" spans="1:34" ht="15.75" hidden="1" customHeight="1" x14ac:dyDescent="0.15">
      <c r="C2" t="s">
        <v>65</v>
      </c>
      <c r="F2">
        <v>0.5</v>
      </c>
      <c r="AA2" s="11" t="s">
        <v>18</v>
      </c>
    </row>
    <row r="3" spans="1:34" ht="15" hidden="1" customHeight="1" x14ac:dyDescent="0.15">
      <c r="F3">
        <v>1</v>
      </c>
      <c r="AA3" s="11" t="s">
        <v>216</v>
      </c>
    </row>
    <row r="4" spans="1:34" ht="14.25" hidden="1" customHeight="1" x14ac:dyDescent="0.15">
      <c r="F4">
        <v>1.5</v>
      </c>
    </row>
    <row r="5" spans="1:34" ht="13.5" hidden="1" customHeight="1" x14ac:dyDescent="0.15">
      <c r="F5">
        <v>2</v>
      </c>
    </row>
    <row r="6" spans="1:34" ht="13.5" hidden="1" customHeight="1" x14ac:dyDescent="0.15">
      <c r="F6">
        <v>2.5</v>
      </c>
    </row>
    <row r="7" spans="1:34" ht="14.25" hidden="1" customHeight="1" x14ac:dyDescent="0.15">
      <c r="F7">
        <v>3</v>
      </c>
    </row>
    <row r="8" spans="1:34" ht="15" hidden="1" customHeight="1" x14ac:dyDescent="0.15">
      <c r="F8">
        <v>4</v>
      </c>
    </row>
    <row r="9" spans="1:34" ht="14.25" customHeight="1" x14ac:dyDescent="0.15"/>
    <row r="10" spans="1:34" s="2" customFormat="1" ht="67.5" x14ac:dyDescent="0.15">
      <c r="A10" s="6" t="s">
        <v>30</v>
      </c>
      <c r="B10" s="6" t="s">
        <v>19</v>
      </c>
      <c r="C10" s="6" t="s">
        <v>66</v>
      </c>
      <c r="D10" s="6" t="s">
        <v>69</v>
      </c>
      <c r="E10" s="6" t="s">
        <v>68</v>
      </c>
      <c r="F10" s="6" t="s">
        <v>67</v>
      </c>
      <c r="G10" s="6" t="s">
        <v>70</v>
      </c>
      <c r="H10" s="6" t="s">
        <v>71</v>
      </c>
      <c r="I10" s="6" t="s">
        <v>72</v>
      </c>
      <c r="J10" s="6" t="s">
        <v>73</v>
      </c>
      <c r="K10" s="6" t="s">
        <v>75</v>
      </c>
      <c r="L10" s="6" t="s">
        <v>74</v>
      </c>
      <c r="M10" s="6" t="s">
        <v>76</v>
      </c>
      <c r="N10" s="6" t="s">
        <v>77</v>
      </c>
      <c r="O10" s="6" t="s">
        <v>78</v>
      </c>
      <c r="P10" s="6" t="s">
        <v>79</v>
      </c>
      <c r="Q10" s="6" t="s">
        <v>23</v>
      </c>
      <c r="R10" s="6" t="s">
        <v>83</v>
      </c>
      <c r="S10" s="6" t="s">
        <v>84</v>
      </c>
      <c r="T10" s="6" t="s">
        <v>85</v>
      </c>
      <c r="U10" s="6" t="s">
        <v>86</v>
      </c>
      <c r="V10" s="6" t="s">
        <v>90</v>
      </c>
      <c r="W10" s="6" t="s">
        <v>87</v>
      </c>
      <c r="X10" s="6" t="s">
        <v>88</v>
      </c>
      <c r="Y10" s="6" t="s">
        <v>89</v>
      </c>
      <c r="Z10" s="6" t="s">
        <v>91</v>
      </c>
      <c r="AA10" s="12" t="s">
        <v>92</v>
      </c>
      <c r="AB10" s="6" t="s">
        <v>94</v>
      </c>
      <c r="AC10" s="6" t="s">
        <v>95</v>
      </c>
      <c r="AD10" s="6" t="s">
        <v>217</v>
      </c>
      <c r="AE10" s="6" t="s">
        <v>48</v>
      </c>
      <c r="AF10" s="6" t="s">
        <v>8</v>
      </c>
      <c r="AG10" s="6" t="s">
        <v>9</v>
      </c>
      <c r="AH10" s="6" t="s">
        <v>49</v>
      </c>
    </row>
    <row r="11" spans="1:34" x14ac:dyDescent="0.15">
      <c r="A11" s="4">
        <v>0</v>
      </c>
      <c r="B11" s="13" t="s">
        <v>213</v>
      </c>
      <c r="C11" s="13" t="s">
        <v>214</v>
      </c>
      <c r="D11" s="4">
        <f>IF(C11="Vertical",1,0)</f>
        <v>1</v>
      </c>
      <c r="E11" s="4">
        <f>IF(C11="Horizontal",1,0)</f>
        <v>0</v>
      </c>
      <c r="F11" s="13">
        <v>1</v>
      </c>
      <c r="G11" s="4">
        <f>LOOKUP(F11,PV_Coeff!$A$3:$A$10,PV_Coeff!$E$3:$E$10)</f>
        <v>2.5</v>
      </c>
      <c r="H11" s="4">
        <f>LOOKUP(F11,PV_Coeff!$A$3:$A$10,PV_Coeff!$F$3:$F$10)</f>
        <v>30</v>
      </c>
      <c r="I11" s="4">
        <f>LOOKUP(F11,PV_Coeff!$A$3:$A$10,PV_Coeff!$L$3:$L$10)</f>
        <v>2.2000000000000002</v>
      </c>
      <c r="J11" s="4">
        <f>LOOKUP(F11,PV_Coeff!$A$3:$A$10,PV_Coeff!$M$3:$M$10)</f>
        <v>30</v>
      </c>
      <c r="K11" s="14">
        <f>G11*D11+I11*E11</f>
        <v>2.5</v>
      </c>
      <c r="L11" s="14">
        <f>H11*D11+J11*E11</f>
        <v>30</v>
      </c>
      <c r="M11" s="13">
        <v>20</v>
      </c>
      <c r="N11" s="4">
        <f>LOOKUP(F11,PV_Coeff!$A$3:$A$10,PV_Coeff!$B$3:$B$10)*D11+LOOKUP(F11,PV_Coeff!$A$3:$A$10,PV_Coeff!$I$3:$I$10)*E11</f>
        <v>3.6236999999999999</v>
      </c>
      <c r="O11" s="4">
        <f>LOOKUP(F11,PV_Coeff!$A$3:$A$10,PV_Coeff!$C$3:$C$10)*D11+LOOKUP(F11,PV_Coeff!$A$3:$A$10,PV_Coeff!$J$3:$J$10)*E11</f>
        <v>0.5262</v>
      </c>
      <c r="P11" s="4">
        <f>LOOKUP(F11,PV_Coeff!$A$3:$A$10,PV_Coeff!$D$3:$D$10)*D11+LOOKUP(F11,PV_Coeff!$A$3:$A$10,PV_Coeff!$K$3:$K$10)*E11</f>
        <v>0.21460000000000001</v>
      </c>
      <c r="Q11" s="15">
        <f>10^(N11+O11*LOG(M11)+P11*(LOG(M11))^2)</f>
        <v>46940.845489976142</v>
      </c>
      <c r="R11" s="13">
        <v>10</v>
      </c>
      <c r="S11" s="4">
        <f>IF(R11&lt;-0.5,1,0)</f>
        <v>0</v>
      </c>
      <c r="T11" s="4">
        <f>IF(AND(R11&gt;=-0.5,R11&lt;3.7),1,0)</f>
        <v>0</v>
      </c>
      <c r="U11" s="4">
        <f>IF(AND(R11&gt;=3.7,R11&lt;=400),1,0)</f>
        <v>1</v>
      </c>
      <c r="V11" s="4">
        <f>3.7*(S11+T11)+R11*U11</f>
        <v>10</v>
      </c>
      <c r="W11" s="4">
        <f>1.25</f>
        <v>1.25</v>
      </c>
      <c r="X11" s="4">
        <v>1</v>
      </c>
      <c r="Y11" s="4">
        <f>0.5146+0.6838*LOG(V11)+0.297*(LOG(V11))^2+0.0235*(LOG(V11))^6+0.002*(LOG(V11))^8</f>
        <v>1.5208999999999999</v>
      </c>
      <c r="Z11" s="14">
        <f>W11*S11+X11*T11+Y11*U11</f>
        <v>1.5208999999999999</v>
      </c>
      <c r="AA11" s="16" t="s">
        <v>44</v>
      </c>
      <c r="AB11" s="4">
        <f>IF(AA11="CS",1,0)</f>
        <v>1</v>
      </c>
      <c r="AC11" s="4">
        <f>IF(AA11="SS",1,0)</f>
        <v>0</v>
      </c>
      <c r="AD11" s="4">
        <f>IF(AA11="Ni_alloy",1,0)</f>
        <v>0</v>
      </c>
      <c r="AE11" s="14">
        <f>1*AB11+4*AC11+7*AD11</f>
        <v>1</v>
      </c>
      <c r="AF11" s="17">
        <f>D11*2.5+E11*1.62</f>
        <v>2.5</v>
      </c>
      <c r="AG11" s="17">
        <f>1.72*D11+1.47*E11</f>
        <v>1.72</v>
      </c>
      <c r="AH11" s="15">
        <f>Q11*(AF11+AG11*Z11*AE11)</f>
        <v>240146.92460275244</v>
      </c>
    </row>
    <row r="12" spans="1:34" x14ac:dyDescent="0.15">
      <c r="A12" s="4">
        <f>A11+1</f>
        <v>1</v>
      </c>
      <c r="B12" s="13"/>
      <c r="C12" s="13"/>
      <c r="D12" s="4">
        <f t="shared" ref="D12:D30" si="0">IF(C12="Vertical",1,0)</f>
        <v>0</v>
      </c>
      <c r="E12" s="4">
        <f t="shared" ref="E12:E30" si="1">IF(C12="Horizontal",1,0)</f>
        <v>0</v>
      </c>
      <c r="F12" s="13">
        <v>0.3</v>
      </c>
      <c r="G12" s="4">
        <f>LOOKUP(F12,PV_Coeff!$A$3:$A$10,PV_Coeff!$E$3:$E$10)</f>
        <v>1.2</v>
      </c>
      <c r="H12" s="4">
        <f>LOOKUP(F12,PV_Coeff!$A$3:$A$10,PV_Coeff!$F$3:$F$10)</f>
        <v>16</v>
      </c>
      <c r="I12" s="4">
        <f>LOOKUP(F12,PV_Coeff!$A$3:$A$10,PV_Coeff!$L$3:$L$10)</f>
        <v>1</v>
      </c>
      <c r="J12" s="4">
        <f>LOOKUP(F12,PV_Coeff!$A$3:$A$10,PV_Coeff!$M$3:$M$10)</f>
        <v>20</v>
      </c>
      <c r="K12" s="14">
        <f t="shared" ref="K12:K30" si="2">G12*D12+I12*E12</f>
        <v>0</v>
      </c>
      <c r="L12" s="14">
        <f t="shared" ref="L12:L30" si="3">H12*D12+J12*E12</f>
        <v>0</v>
      </c>
      <c r="M12" s="13">
        <v>1</v>
      </c>
      <c r="N12" s="4">
        <f>LOOKUP(F12,PV_Coeff!$A$3:$A$10,PV_Coeff!$B$3:$B$10)*D12+LOOKUP(F12,PV_Coeff!$A$3:$A$10,PV_Coeff!$I$3:$I$10)*E12</f>
        <v>0</v>
      </c>
      <c r="O12" s="4">
        <f>LOOKUP(F12,PV_Coeff!$A$3:$A$10,PV_Coeff!$C$3:$C$10)*D12+LOOKUP(F12,PV_Coeff!$A$3:$A$10,PV_Coeff!$J$3:$J$10)*E12</f>
        <v>0</v>
      </c>
      <c r="P12" s="4">
        <f>LOOKUP(F12,PV_Coeff!$A$3:$A$10,PV_Coeff!$D$3:$D$10)*D12+LOOKUP(F12,PV_Coeff!$A$3:$A$10,PV_Coeff!$K$3:$K$10)*E12</f>
        <v>0</v>
      </c>
      <c r="Q12" s="15">
        <f t="shared" ref="Q12:Q30" si="4">10^(N12+O12*LOG(M12)+P12*(LOG(M12))^2)</f>
        <v>1</v>
      </c>
      <c r="R12" s="13">
        <v>1</v>
      </c>
      <c r="S12" s="4">
        <f t="shared" ref="S12:S30" si="5">IF(R12&lt;-0.5,1,0)</f>
        <v>0</v>
      </c>
      <c r="T12" s="4">
        <f t="shared" ref="T12:T30" si="6">IF(AND(R12&gt;=-0.5,R12&lt;3.7),1,0)</f>
        <v>1</v>
      </c>
      <c r="U12" s="4">
        <f t="shared" ref="U12:U30" si="7">IF(AND(R12&gt;=3.7,R12&lt;=400),1,0)</f>
        <v>0</v>
      </c>
      <c r="V12" s="4">
        <f t="shared" ref="V12:V30" si="8">3.7*(S12+T12)+R12*U12</f>
        <v>3.7</v>
      </c>
      <c r="W12" s="4">
        <f t="shared" ref="W12:W30" si="9">1.25</f>
        <v>1.25</v>
      </c>
      <c r="X12" s="4">
        <v>1</v>
      </c>
      <c r="Y12" s="4">
        <f t="shared" ref="Y12:Y30" si="10">0.5146+0.6838*LOG(V12)+0.297*(LOG(V12))^2+0.0235*(LOG(V12))^6+0.002*(LOG(V12))^8</f>
        <v>0.99983629863809276</v>
      </c>
      <c r="Z12" s="14">
        <f t="shared" ref="Z12:Z30" si="11">W12*S12+X12*T12+Y12*U12</f>
        <v>1</v>
      </c>
      <c r="AA12" s="16" t="s">
        <v>44</v>
      </c>
      <c r="AB12" s="4">
        <f t="shared" ref="AB12:AB30" si="12">IF(AA12="CS",1,0)</f>
        <v>1</v>
      </c>
      <c r="AC12" s="4">
        <f t="shared" ref="AC12:AC30" si="13">IF(AA12="SS",1,0)</f>
        <v>0</v>
      </c>
      <c r="AD12" s="4">
        <f t="shared" ref="AD12:AD30" si="14">IF(AA12="Ni_alloy",1,0)</f>
        <v>0</v>
      </c>
      <c r="AE12" s="14">
        <f t="shared" ref="AE12:AE30" si="15">1*AB12+4*AC12+7*AD12</f>
        <v>1</v>
      </c>
      <c r="AF12" s="17">
        <f t="shared" ref="AF12:AF30" si="16">D12*2.5+E12*1.62</f>
        <v>0</v>
      </c>
      <c r="AG12" s="17">
        <f t="shared" ref="AG12:AG30" si="17">1.72*D12+1.47*E12</f>
        <v>0</v>
      </c>
      <c r="AH12" s="15">
        <f t="shared" ref="AH12:AH30" si="18">Q12*(AF12+AG12*Z12*AE12)</f>
        <v>0</v>
      </c>
    </row>
    <row r="13" spans="1:34" x14ac:dyDescent="0.15">
      <c r="A13" s="4">
        <f t="shared" ref="A13:A30" si="19">A12+1</f>
        <v>2</v>
      </c>
      <c r="B13" s="13"/>
      <c r="C13" s="13"/>
      <c r="D13" s="4">
        <f t="shared" si="0"/>
        <v>0</v>
      </c>
      <c r="E13" s="4">
        <f t="shared" si="1"/>
        <v>0</v>
      </c>
      <c r="F13" s="13">
        <v>0.3</v>
      </c>
      <c r="G13" s="4">
        <f>LOOKUP(F13,PV_Coeff!$A$3:$A$10,PV_Coeff!$E$3:$E$10)</f>
        <v>1.2</v>
      </c>
      <c r="H13" s="4">
        <f>LOOKUP(F13,PV_Coeff!$A$3:$A$10,PV_Coeff!$F$3:$F$10)</f>
        <v>16</v>
      </c>
      <c r="I13" s="4">
        <f>LOOKUP(F13,PV_Coeff!$A$3:$A$10,PV_Coeff!$L$3:$L$10)</f>
        <v>1</v>
      </c>
      <c r="J13" s="4">
        <f>LOOKUP(F13,PV_Coeff!$A$3:$A$10,PV_Coeff!$M$3:$M$10)</f>
        <v>20</v>
      </c>
      <c r="K13" s="14">
        <f t="shared" si="2"/>
        <v>0</v>
      </c>
      <c r="L13" s="14">
        <f t="shared" si="3"/>
        <v>0</v>
      </c>
      <c r="M13" s="13">
        <v>1</v>
      </c>
      <c r="N13" s="4">
        <f>LOOKUP(F13,PV_Coeff!$A$3:$A$10,PV_Coeff!$B$3:$B$10)*D13+LOOKUP(F13,PV_Coeff!$A$3:$A$10,PV_Coeff!$I$3:$I$10)*E13</f>
        <v>0</v>
      </c>
      <c r="O13" s="4">
        <f>LOOKUP(F13,PV_Coeff!$A$3:$A$10,PV_Coeff!$C$3:$C$10)*D13+LOOKUP(F13,PV_Coeff!$A$3:$A$10,PV_Coeff!$J$3:$J$10)*E13</f>
        <v>0</v>
      </c>
      <c r="P13" s="4">
        <f>LOOKUP(F13,PV_Coeff!$A$3:$A$10,PV_Coeff!$D$3:$D$10)*D13+LOOKUP(F13,PV_Coeff!$A$3:$A$10,PV_Coeff!$K$3:$K$10)*E13</f>
        <v>0</v>
      </c>
      <c r="Q13" s="15">
        <f t="shared" si="4"/>
        <v>1</v>
      </c>
      <c r="R13" s="13">
        <v>1</v>
      </c>
      <c r="S13" s="4">
        <f t="shared" si="5"/>
        <v>0</v>
      </c>
      <c r="T13" s="4">
        <f t="shared" si="6"/>
        <v>1</v>
      </c>
      <c r="U13" s="4">
        <f t="shared" si="7"/>
        <v>0</v>
      </c>
      <c r="V13" s="4">
        <f t="shared" si="8"/>
        <v>3.7</v>
      </c>
      <c r="W13" s="4">
        <f t="shared" si="9"/>
        <v>1.25</v>
      </c>
      <c r="X13" s="4">
        <v>1</v>
      </c>
      <c r="Y13" s="4">
        <f t="shared" si="10"/>
        <v>0.99983629863809276</v>
      </c>
      <c r="Z13" s="14">
        <f t="shared" si="11"/>
        <v>1</v>
      </c>
      <c r="AA13" s="16" t="s">
        <v>44</v>
      </c>
      <c r="AB13" s="4">
        <f t="shared" si="12"/>
        <v>1</v>
      </c>
      <c r="AC13" s="4">
        <f t="shared" si="13"/>
        <v>0</v>
      </c>
      <c r="AD13" s="4">
        <f t="shared" si="14"/>
        <v>0</v>
      </c>
      <c r="AE13" s="14">
        <f t="shared" si="15"/>
        <v>1</v>
      </c>
      <c r="AF13" s="17">
        <f t="shared" si="16"/>
        <v>0</v>
      </c>
      <c r="AG13" s="17">
        <f t="shared" si="17"/>
        <v>0</v>
      </c>
      <c r="AH13" s="15">
        <f t="shared" si="18"/>
        <v>0</v>
      </c>
    </row>
    <row r="14" spans="1:34" x14ac:dyDescent="0.15">
      <c r="A14" s="4">
        <f t="shared" si="19"/>
        <v>3</v>
      </c>
      <c r="B14" s="13"/>
      <c r="C14" s="13"/>
      <c r="D14" s="4">
        <f t="shared" si="0"/>
        <v>0</v>
      </c>
      <c r="E14" s="4">
        <f t="shared" si="1"/>
        <v>0</v>
      </c>
      <c r="F14" s="13">
        <v>0.3</v>
      </c>
      <c r="G14" s="4">
        <f>LOOKUP(F14,PV_Coeff!$A$3:$A$10,PV_Coeff!$E$3:$E$10)</f>
        <v>1.2</v>
      </c>
      <c r="H14" s="4">
        <f>LOOKUP(F14,PV_Coeff!$A$3:$A$10,PV_Coeff!$F$3:$F$10)</f>
        <v>16</v>
      </c>
      <c r="I14" s="4">
        <f>LOOKUP(F14,PV_Coeff!$A$3:$A$10,PV_Coeff!$L$3:$L$10)</f>
        <v>1</v>
      </c>
      <c r="J14" s="4">
        <f>LOOKUP(F14,PV_Coeff!$A$3:$A$10,PV_Coeff!$M$3:$M$10)</f>
        <v>20</v>
      </c>
      <c r="K14" s="14">
        <f t="shared" si="2"/>
        <v>0</v>
      </c>
      <c r="L14" s="14">
        <f t="shared" si="3"/>
        <v>0</v>
      </c>
      <c r="M14" s="13">
        <v>1</v>
      </c>
      <c r="N14" s="4">
        <f>LOOKUP(F14,PV_Coeff!$A$3:$A$10,PV_Coeff!$B$3:$B$10)*D14+LOOKUP(F14,PV_Coeff!$A$3:$A$10,PV_Coeff!$I$3:$I$10)*E14</f>
        <v>0</v>
      </c>
      <c r="O14" s="4">
        <f>LOOKUP(F14,PV_Coeff!$A$3:$A$10,PV_Coeff!$C$3:$C$10)*D14+LOOKUP(F14,PV_Coeff!$A$3:$A$10,PV_Coeff!$J$3:$J$10)*E14</f>
        <v>0</v>
      </c>
      <c r="P14" s="4">
        <f>LOOKUP(F14,PV_Coeff!$A$3:$A$10,PV_Coeff!$D$3:$D$10)*D14+LOOKUP(F14,PV_Coeff!$A$3:$A$10,PV_Coeff!$K$3:$K$10)*E14</f>
        <v>0</v>
      </c>
      <c r="Q14" s="15">
        <f t="shared" si="4"/>
        <v>1</v>
      </c>
      <c r="R14" s="13">
        <v>1</v>
      </c>
      <c r="S14" s="4">
        <f t="shared" si="5"/>
        <v>0</v>
      </c>
      <c r="T14" s="4">
        <f t="shared" si="6"/>
        <v>1</v>
      </c>
      <c r="U14" s="4">
        <f t="shared" si="7"/>
        <v>0</v>
      </c>
      <c r="V14" s="4">
        <f t="shared" si="8"/>
        <v>3.7</v>
      </c>
      <c r="W14" s="4">
        <f t="shared" si="9"/>
        <v>1.25</v>
      </c>
      <c r="X14" s="4">
        <v>1</v>
      </c>
      <c r="Y14" s="4">
        <f t="shared" si="10"/>
        <v>0.99983629863809276</v>
      </c>
      <c r="Z14" s="14">
        <f t="shared" si="11"/>
        <v>1</v>
      </c>
      <c r="AA14" s="16" t="s">
        <v>44</v>
      </c>
      <c r="AB14" s="4">
        <f t="shared" si="12"/>
        <v>1</v>
      </c>
      <c r="AC14" s="4">
        <f t="shared" si="13"/>
        <v>0</v>
      </c>
      <c r="AD14" s="4">
        <f t="shared" si="14"/>
        <v>0</v>
      </c>
      <c r="AE14" s="14">
        <f t="shared" si="15"/>
        <v>1</v>
      </c>
      <c r="AF14" s="17">
        <f t="shared" si="16"/>
        <v>0</v>
      </c>
      <c r="AG14" s="17">
        <f t="shared" si="17"/>
        <v>0</v>
      </c>
      <c r="AH14" s="15">
        <f t="shared" si="18"/>
        <v>0</v>
      </c>
    </row>
    <row r="15" spans="1:34" x14ac:dyDescent="0.15">
      <c r="A15" s="4">
        <f t="shared" si="19"/>
        <v>4</v>
      </c>
      <c r="B15" s="13"/>
      <c r="C15" s="13"/>
      <c r="D15" s="4">
        <f t="shared" si="0"/>
        <v>0</v>
      </c>
      <c r="E15" s="4">
        <f t="shared" si="1"/>
        <v>0</v>
      </c>
      <c r="F15" s="13">
        <v>0.3</v>
      </c>
      <c r="G15" s="4">
        <f>LOOKUP(F15,PV_Coeff!$A$3:$A$10,PV_Coeff!$E$3:$E$10)</f>
        <v>1.2</v>
      </c>
      <c r="H15" s="4">
        <f>LOOKUP(F15,PV_Coeff!$A$3:$A$10,PV_Coeff!$F$3:$F$10)</f>
        <v>16</v>
      </c>
      <c r="I15" s="4">
        <f>LOOKUP(F15,PV_Coeff!$A$3:$A$10,PV_Coeff!$L$3:$L$10)</f>
        <v>1</v>
      </c>
      <c r="J15" s="4">
        <f>LOOKUP(F15,PV_Coeff!$A$3:$A$10,PV_Coeff!$M$3:$M$10)</f>
        <v>20</v>
      </c>
      <c r="K15" s="14">
        <f t="shared" si="2"/>
        <v>0</v>
      </c>
      <c r="L15" s="14">
        <f t="shared" si="3"/>
        <v>0</v>
      </c>
      <c r="M15" s="13">
        <v>1</v>
      </c>
      <c r="N15" s="4">
        <f>LOOKUP(F15,PV_Coeff!$A$3:$A$10,PV_Coeff!$B$3:$B$10)*D15+LOOKUP(F15,PV_Coeff!$A$3:$A$10,PV_Coeff!$I$3:$I$10)*E15</f>
        <v>0</v>
      </c>
      <c r="O15" s="4">
        <f>LOOKUP(F15,PV_Coeff!$A$3:$A$10,PV_Coeff!$C$3:$C$10)*D15+LOOKUP(F15,PV_Coeff!$A$3:$A$10,PV_Coeff!$J$3:$J$10)*E15</f>
        <v>0</v>
      </c>
      <c r="P15" s="4">
        <f>LOOKUP(F15,PV_Coeff!$A$3:$A$10,PV_Coeff!$D$3:$D$10)*D15+LOOKUP(F15,PV_Coeff!$A$3:$A$10,PV_Coeff!$K$3:$K$10)*E15</f>
        <v>0</v>
      </c>
      <c r="Q15" s="15">
        <f t="shared" si="4"/>
        <v>1</v>
      </c>
      <c r="R15" s="13">
        <v>1</v>
      </c>
      <c r="S15" s="4">
        <f t="shared" si="5"/>
        <v>0</v>
      </c>
      <c r="T15" s="4">
        <f t="shared" si="6"/>
        <v>1</v>
      </c>
      <c r="U15" s="4">
        <f t="shared" si="7"/>
        <v>0</v>
      </c>
      <c r="V15" s="4">
        <f t="shared" si="8"/>
        <v>3.7</v>
      </c>
      <c r="W15" s="4">
        <f t="shared" si="9"/>
        <v>1.25</v>
      </c>
      <c r="X15" s="4">
        <v>1</v>
      </c>
      <c r="Y15" s="4">
        <f t="shared" si="10"/>
        <v>0.99983629863809276</v>
      </c>
      <c r="Z15" s="14">
        <f t="shared" si="11"/>
        <v>1</v>
      </c>
      <c r="AA15" s="16" t="s">
        <v>44</v>
      </c>
      <c r="AB15" s="4">
        <f t="shared" si="12"/>
        <v>1</v>
      </c>
      <c r="AC15" s="4">
        <f t="shared" si="13"/>
        <v>0</v>
      </c>
      <c r="AD15" s="4">
        <f t="shared" si="14"/>
        <v>0</v>
      </c>
      <c r="AE15" s="14">
        <f t="shared" si="15"/>
        <v>1</v>
      </c>
      <c r="AF15" s="17">
        <f t="shared" si="16"/>
        <v>0</v>
      </c>
      <c r="AG15" s="17">
        <f t="shared" si="17"/>
        <v>0</v>
      </c>
      <c r="AH15" s="15">
        <f t="shared" si="18"/>
        <v>0</v>
      </c>
    </row>
    <row r="16" spans="1:34" x14ac:dyDescent="0.15">
      <c r="A16" s="4">
        <f t="shared" si="19"/>
        <v>5</v>
      </c>
      <c r="B16" s="13"/>
      <c r="C16" s="13"/>
      <c r="D16" s="4">
        <f t="shared" si="0"/>
        <v>0</v>
      </c>
      <c r="E16" s="4">
        <f t="shared" si="1"/>
        <v>0</v>
      </c>
      <c r="F16" s="13">
        <v>0.3</v>
      </c>
      <c r="G16" s="4">
        <f>LOOKUP(F16,PV_Coeff!$A$3:$A$10,PV_Coeff!$E$3:$E$10)</f>
        <v>1.2</v>
      </c>
      <c r="H16" s="4">
        <f>LOOKUP(F16,PV_Coeff!$A$3:$A$10,PV_Coeff!$F$3:$F$10)</f>
        <v>16</v>
      </c>
      <c r="I16" s="4">
        <f>LOOKUP(F16,PV_Coeff!$A$3:$A$10,PV_Coeff!$L$3:$L$10)</f>
        <v>1</v>
      </c>
      <c r="J16" s="4">
        <f>LOOKUP(F16,PV_Coeff!$A$3:$A$10,PV_Coeff!$M$3:$M$10)</f>
        <v>20</v>
      </c>
      <c r="K16" s="14">
        <f t="shared" si="2"/>
        <v>0</v>
      </c>
      <c r="L16" s="14">
        <f t="shared" si="3"/>
        <v>0</v>
      </c>
      <c r="M16" s="13">
        <v>1</v>
      </c>
      <c r="N16" s="4">
        <f>LOOKUP(F16,PV_Coeff!$A$3:$A$10,PV_Coeff!$B$3:$B$10)*D16+LOOKUP(F16,PV_Coeff!$A$3:$A$10,PV_Coeff!$I$3:$I$10)*E16</f>
        <v>0</v>
      </c>
      <c r="O16" s="4">
        <f>LOOKUP(F16,PV_Coeff!$A$3:$A$10,PV_Coeff!$C$3:$C$10)*D16+LOOKUP(F16,PV_Coeff!$A$3:$A$10,PV_Coeff!$J$3:$J$10)*E16</f>
        <v>0</v>
      </c>
      <c r="P16" s="4">
        <f>LOOKUP(F16,PV_Coeff!$A$3:$A$10,PV_Coeff!$D$3:$D$10)*D16+LOOKUP(F16,PV_Coeff!$A$3:$A$10,PV_Coeff!$K$3:$K$10)*E16</f>
        <v>0</v>
      </c>
      <c r="Q16" s="15">
        <f t="shared" si="4"/>
        <v>1</v>
      </c>
      <c r="R16" s="13">
        <v>1</v>
      </c>
      <c r="S16" s="4">
        <f t="shared" si="5"/>
        <v>0</v>
      </c>
      <c r="T16" s="4">
        <f t="shared" si="6"/>
        <v>1</v>
      </c>
      <c r="U16" s="4">
        <f t="shared" si="7"/>
        <v>0</v>
      </c>
      <c r="V16" s="4">
        <f t="shared" si="8"/>
        <v>3.7</v>
      </c>
      <c r="W16" s="4">
        <f t="shared" si="9"/>
        <v>1.25</v>
      </c>
      <c r="X16" s="4">
        <v>1</v>
      </c>
      <c r="Y16" s="4">
        <f t="shared" si="10"/>
        <v>0.99983629863809276</v>
      </c>
      <c r="Z16" s="14">
        <f t="shared" si="11"/>
        <v>1</v>
      </c>
      <c r="AA16" s="16" t="s">
        <v>44</v>
      </c>
      <c r="AB16" s="4">
        <f t="shared" si="12"/>
        <v>1</v>
      </c>
      <c r="AC16" s="4">
        <f t="shared" si="13"/>
        <v>0</v>
      </c>
      <c r="AD16" s="4">
        <f t="shared" si="14"/>
        <v>0</v>
      </c>
      <c r="AE16" s="14">
        <f t="shared" si="15"/>
        <v>1</v>
      </c>
      <c r="AF16" s="17">
        <f t="shared" si="16"/>
        <v>0</v>
      </c>
      <c r="AG16" s="17">
        <f t="shared" si="17"/>
        <v>0</v>
      </c>
      <c r="AH16" s="15">
        <f t="shared" si="18"/>
        <v>0</v>
      </c>
    </row>
    <row r="17" spans="1:34" x14ac:dyDescent="0.15">
      <c r="A17" s="4">
        <f t="shared" si="19"/>
        <v>6</v>
      </c>
      <c r="B17" s="13"/>
      <c r="C17" s="13"/>
      <c r="D17" s="4">
        <f t="shared" si="0"/>
        <v>0</v>
      </c>
      <c r="E17" s="4">
        <f t="shared" si="1"/>
        <v>0</v>
      </c>
      <c r="F17" s="13">
        <v>0.3</v>
      </c>
      <c r="G17" s="4">
        <f>LOOKUP(F17,PV_Coeff!$A$3:$A$10,PV_Coeff!$E$3:$E$10)</f>
        <v>1.2</v>
      </c>
      <c r="H17" s="4">
        <f>LOOKUP(F17,PV_Coeff!$A$3:$A$10,PV_Coeff!$F$3:$F$10)</f>
        <v>16</v>
      </c>
      <c r="I17" s="4">
        <f>LOOKUP(F17,PV_Coeff!$A$3:$A$10,PV_Coeff!$L$3:$L$10)</f>
        <v>1</v>
      </c>
      <c r="J17" s="4">
        <f>LOOKUP(F17,PV_Coeff!$A$3:$A$10,PV_Coeff!$M$3:$M$10)</f>
        <v>20</v>
      </c>
      <c r="K17" s="14">
        <f t="shared" si="2"/>
        <v>0</v>
      </c>
      <c r="L17" s="14">
        <f t="shared" si="3"/>
        <v>0</v>
      </c>
      <c r="M17" s="13">
        <v>1</v>
      </c>
      <c r="N17" s="4">
        <f>LOOKUP(F17,PV_Coeff!$A$3:$A$10,PV_Coeff!$B$3:$B$10)*D17+LOOKUP(F17,PV_Coeff!$A$3:$A$10,PV_Coeff!$I$3:$I$10)*E17</f>
        <v>0</v>
      </c>
      <c r="O17" s="4">
        <f>LOOKUP(F17,PV_Coeff!$A$3:$A$10,PV_Coeff!$C$3:$C$10)*D17+LOOKUP(F17,PV_Coeff!$A$3:$A$10,PV_Coeff!$J$3:$J$10)*E17</f>
        <v>0</v>
      </c>
      <c r="P17" s="4">
        <f>LOOKUP(F17,PV_Coeff!$A$3:$A$10,PV_Coeff!$D$3:$D$10)*D17+LOOKUP(F17,PV_Coeff!$A$3:$A$10,PV_Coeff!$K$3:$K$10)*E17</f>
        <v>0</v>
      </c>
      <c r="Q17" s="15">
        <f t="shared" si="4"/>
        <v>1</v>
      </c>
      <c r="R17" s="13">
        <v>1</v>
      </c>
      <c r="S17" s="4">
        <f t="shared" si="5"/>
        <v>0</v>
      </c>
      <c r="T17" s="4">
        <f t="shared" si="6"/>
        <v>1</v>
      </c>
      <c r="U17" s="4">
        <f t="shared" si="7"/>
        <v>0</v>
      </c>
      <c r="V17" s="4">
        <f t="shared" si="8"/>
        <v>3.7</v>
      </c>
      <c r="W17" s="4">
        <f t="shared" si="9"/>
        <v>1.25</v>
      </c>
      <c r="X17" s="4">
        <v>1</v>
      </c>
      <c r="Y17" s="4">
        <f t="shared" si="10"/>
        <v>0.99983629863809276</v>
      </c>
      <c r="Z17" s="14">
        <f t="shared" si="11"/>
        <v>1</v>
      </c>
      <c r="AA17" s="16" t="s">
        <v>44</v>
      </c>
      <c r="AB17" s="4">
        <f t="shared" si="12"/>
        <v>1</v>
      </c>
      <c r="AC17" s="4">
        <f t="shared" si="13"/>
        <v>0</v>
      </c>
      <c r="AD17" s="4">
        <f t="shared" si="14"/>
        <v>0</v>
      </c>
      <c r="AE17" s="14">
        <f t="shared" si="15"/>
        <v>1</v>
      </c>
      <c r="AF17" s="17">
        <f t="shared" si="16"/>
        <v>0</v>
      </c>
      <c r="AG17" s="17">
        <f t="shared" si="17"/>
        <v>0</v>
      </c>
      <c r="AH17" s="15">
        <f t="shared" si="18"/>
        <v>0</v>
      </c>
    </row>
    <row r="18" spans="1:34" x14ac:dyDescent="0.15">
      <c r="A18" s="4">
        <f t="shared" si="19"/>
        <v>7</v>
      </c>
      <c r="B18" s="13"/>
      <c r="C18" s="13"/>
      <c r="D18" s="4">
        <f t="shared" si="0"/>
        <v>0</v>
      </c>
      <c r="E18" s="4">
        <f t="shared" si="1"/>
        <v>0</v>
      </c>
      <c r="F18" s="13">
        <v>0.3</v>
      </c>
      <c r="G18" s="4">
        <f>LOOKUP(F18,PV_Coeff!$A$3:$A$10,PV_Coeff!$E$3:$E$10)</f>
        <v>1.2</v>
      </c>
      <c r="H18" s="4">
        <f>LOOKUP(F18,PV_Coeff!$A$3:$A$10,PV_Coeff!$F$3:$F$10)</f>
        <v>16</v>
      </c>
      <c r="I18" s="4">
        <f>LOOKUP(F18,PV_Coeff!$A$3:$A$10,PV_Coeff!$L$3:$L$10)</f>
        <v>1</v>
      </c>
      <c r="J18" s="4">
        <f>LOOKUP(F18,PV_Coeff!$A$3:$A$10,PV_Coeff!$M$3:$M$10)</f>
        <v>20</v>
      </c>
      <c r="K18" s="14">
        <f t="shared" si="2"/>
        <v>0</v>
      </c>
      <c r="L18" s="14">
        <f t="shared" si="3"/>
        <v>0</v>
      </c>
      <c r="M18" s="13">
        <v>1</v>
      </c>
      <c r="N18" s="4">
        <f>LOOKUP(F18,PV_Coeff!$A$3:$A$10,PV_Coeff!$B$3:$B$10)*D18+LOOKUP(F18,PV_Coeff!$A$3:$A$10,PV_Coeff!$I$3:$I$10)*E18</f>
        <v>0</v>
      </c>
      <c r="O18" s="4">
        <f>LOOKUP(F18,PV_Coeff!$A$3:$A$10,PV_Coeff!$C$3:$C$10)*D18+LOOKUP(F18,PV_Coeff!$A$3:$A$10,PV_Coeff!$J$3:$J$10)*E18</f>
        <v>0</v>
      </c>
      <c r="P18" s="4">
        <f>LOOKUP(F18,PV_Coeff!$A$3:$A$10,PV_Coeff!$D$3:$D$10)*D18+LOOKUP(F18,PV_Coeff!$A$3:$A$10,PV_Coeff!$K$3:$K$10)*E18</f>
        <v>0</v>
      </c>
      <c r="Q18" s="15">
        <f t="shared" si="4"/>
        <v>1</v>
      </c>
      <c r="R18" s="13">
        <v>1</v>
      </c>
      <c r="S18" s="4">
        <f t="shared" si="5"/>
        <v>0</v>
      </c>
      <c r="T18" s="4">
        <f t="shared" si="6"/>
        <v>1</v>
      </c>
      <c r="U18" s="4">
        <f t="shared" si="7"/>
        <v>0</v>
      </c>
      <c r="V18" s="4">
        <f t="shared" si="8"/>
        <v>3.7</v>
      </c>
      <c r="W18" s="4">
        <f t="shared" si="9"/>
        <v>1.25</v>
      </c>
      <c r="X18" s="4">
        <v>1</v>
      </c>
      <c r="Y18" s="4">
        <f t="shared" si="10"/>
        <v>0.99983629863809276</v>
      </c>
      <c r="Z18" s="14">
        <f t="shared" si="11"/>
        <v>1</v>
      </c>
      <c r="AA18" s="16" t="s">
        <v>44</v>
      </c>
      <c r="AB18" s="4">
        <f t="shared" si="12"/>
        <v>1</v>
      </c>
      <c r="AC18" s="4">
        <f t="shared" si="13"/>
        <v>0</v>
      </c>
      <c r="AD18" s="4">
        <f t="shared" si="14"/>
        <v>0</v>
      </c>
      <c r="AE18" s="14">
        <f t="shared" si="15"/>
        <v>1</v>
      </c>
      <c r="AF18" s="17">
        <f t="shared" si="16"/>
        <v>0</v>
      </c>
      <c r="AG18" s="17">
        <f t="shared" si="17"/>
        <v>0</v>
      </c>
      <c r="AH18" s="15">
        <f t="shared" si="18"/>
        <v>0</v>
      </c>
    </row>
    <row r="19" spans="1:34" x14ac:dyDescent="0.15">
      <c r="A19" s="4">
        <f t="shared" si="19"/>
        <v>8</v>
      </c>
      <c r="B19" s="13"/>
      <c r="C19" s="13"/>
      <c r="D19" s="4">
        <f t="shared" si="0"/>
        <v>0</v>
      </c>
      <c r="E19" s="4">
        <f t="shared" si="1"/>
        <v>0</v>
      </c>
      <c r="F19" s="13">
        <v>0.3</v>
      </c>
      <c r="G19" s="4">
        <f>LOOKUP(F19,PV_Coeff!$A$3:$A$10,PV_Coeff!$E$3:$E$10)</f>
        <v>1.2</v>
      </c>
      <c r="H19" s="4">
        <f>LOOKUP(F19,PV_Coeff!$A$3:$A$10,PV_Coeff!$F$3:$F$10)</f>
        <v>16</v>
      </c>
      <c r="I19" s="4">
        <f>LOOKUP(F19,PV_Coeff!$A$3:$A$10,PV_Coeff!$L$3:$L$10)</f>
        <v>1</v>
      </c>
      <c r="J19" s="4">
        <f>LOOKUP(F19,PV_Coeff!$A$3:$A$10,PV_Coeff!$M$3:$M$10)</f>
        <v>20</v>
      </c>
      <c r="K19" s="14">
        <f t="shared" si="2"/>
        <v>0</v>
      </c>
      <c r="L19" s="14">
        <f t="shared" si="3"/>
        <v>0</v>
      </c>
      <c r="M19" s="13">
        <v>1</v>
      </c>
      <c r="N19" s="4">
        <f>LOOKUP(F19,PV_Coeff!$A$3:$A$10,PV_Coeff!$B$3:$B$10)*D19+LOOKUP(F19,PV_Coeff!$A$3:$A$10,PV_Coeff!$I$3:$I$10)*E19</f>
        <v>0</v>
      </c>
      <c r="O19" s="4">
        <f>LOOKUP(F19,PV_Coeff!$A$3:$A$10,PV_Coeff!$C$3:$C$10)*D19+LOOKUP(F19,PV_Coeff!$A$3:$A$10,PV_Coeff!$J$3:$J$10)*E19</f>
        <v>0</v>
      </c>
      <c r="P19" s="4">
        <f>LOOKUP(F19,PV_Coeff!$A$3:$A$10,PV_Coeff!$D$3:$D$10)*D19+LOOKUP(F19,PV_Coeff!$A$3:$A$10,PV_Coeff!$K$3:$K$10)*E19</f>
        <v>0</v>
      </c>
      <c r="Q19" s="15">
        <f t="shared" si="4"/>
        <v>1</v>
      </c>
      <c r="R19" s="13">
        <v>1</v>
      </c>
      <c r="S19" s="4">
        <f t="shared" si="5"/>
        <v>0</v>
      </c>
      <c r="T19" s="4">
        <f t="shared" si="6"/>
        <v>1</v>
      </c>
      <c r="U19" s="4">
        <f t="shared" si="7"/>
        <v>0</v>
      </c>
      <c r="V19" s="4">
        <f t="shared" si="8"/>
        <v>3.7</v>
      </c>
      <c r="W19" s="4">
        <f t="shared" si="9"/>
        <v>1.25</v>
      </c>
      <c r="X19" s="4">
        <v>1</v>
      </c>
      <c r="Y19" s="4">
        <f t="shared" si="10"/>
        <v>0.99983629863809276</v>
      </c>
      <c r="Z19" s="14">
        <f t="shared" si="11"/>
        <v>1</v>
      </c>
      <c r="AA19" s="16" t="s">
        <v>44</v>
      </c>
      <c r="AB19" s="4">
        <f t="shared" si="12"/>
        <v>1</v>
      </c>
      <c r="AC19" s="4">
        <f t="shared" si="13"/>
        <v>0</v>
      </c>
      <c r="AD19" s="4">
        <f t="shared" si="14"/>
        <v>0</v>
      </c>
      <c r="AE19" s="14">
        <f t="shared" si="15"/>
        <v>1</v>
      </c>
      <c r="AF19" s="17">
        <f t="shared" si="16"/>
        <v>0</v>
      </c>
      <c r="AG19" s="17">
        <f t="shared" si="17"/>
        <v>0</v>
      </c>
      <c r="AH19" s="15">
        <f t="shared" si="18"/>
        <v>0</v>
      </c>
    </row>
    <row r="20" spans="1:34" x14ac:dyDescent="0.15">
      <c r="A20" s="4">
        <f t="shared" si="19"/>
        <v>9</v>
      </c>
      <c r="B20" s="13"/>
      <c r="C20" s="13"/>
      <c r="D20" s="4">
        <f t="shared" si="0"/>
        <v>0</v>
      </c>
      <c r="E20" s="4">
        <f t="shared" si="1"/>
        <v>0</v>
      </c>
      <c r="F20" s="13">
        <v>0.3</v>
      </c>
      <c r="G20" s="4">
        <f>LOOKUP(F20,PV_Coeff!$A$3:$A$10,PV_Coeff!$E$3:$E$10)</f>
        <v>1.2</v>
      </c>
      <c r="H20" s="4">
        <f>LOOKUP(F20,PV_Coeff!$A$3:$A$10,PV_Coeff!$F$3:$F$10)</f>
        <v>16</v>
      </c>
      <c r="I20" s="4">
        <f>LOOKUP(F20,PV_Coeff!$A$3:$A$10,PV_Coeff!$L$3:$L$10)</f>
        <v>1</v>
      </c>
      <c r="J20" s="4">
        <f>LOOKUP(F20,PV_Coeff!$A$3:$A$10,PV_Coeff!$M$3:$M$10)</f>
        <v>20</v>
      </c>
      <c r="K20" s="14">
        <f t="shared" si="2"/>
        <v>0</v>
      </c>
      <c r="L20" s="14">
        <f t="shared" si="3"/>
        <v>0</v>
      </c>
      <c r="M20" s="13">
        <v>1</v>
      </c>
      <c r="N20" s="4">
        <f>LOOKUP(F20,PV_Coeff!$A$3:$A$10,PV_Coeff!$B$3:$B$10)*D20+LOOKUP(F20,PV_Coeff!$A$3:$A$10,PV_Coeff!$I$3:$I$10)*E20</f>
        <v>0</v>
      </c>
      <c r="O20" s="4">
        <f>LOOKUP(F20,PV_Coeff!$A$3:$A$10,PV_Coeff!$C$3:$C$10)*D20+LOOKUP(F20,PV_Coeff!$A$3:$A$10,PV_Coeff!$J$3:$J$10)*E20</f>
        <v>0</v>
      </c>
      <c r="P20" s="4">
        <f>LOOKUP(F20,PV_Coeff!$A$3:$A$10,PV_Coeff!$D$3:$D$10)*D20+LOOKUP(F20,PV_Coeff!$A$3:$A$10,PV_Coeff!$K$3:$K$10)*E20</f>
        <v>0</v>
      </c>
      <c r="Q20" s="15">
        <f t="shared" si="4"/>
        <v>1</v>
      </c>
      <c r="R20" s="13">
        <v>1</v>
      </c>
      <c r="S20" s="4">
        <f t="shared" si="5"/>
        <v>0</v>
      </c>
      <c r="T20" s="4">
        <f t="shared" si="6"/>
        <v>1</v>
      </c>
      <c r="U20" s="4">
        <f t="shared" si="7"/>
        <v>0</v>
      </c>
      <c r="V20" s="4">
        <f t="shared" si="8"/>
        <v>3.7</v>
      </c>
      <c r="W20" s="4">
        <f t="shared" si="9"/>
        <v>1.25</v>
      </c>
      <c r="X20" s="4">
        <v>1</v>
      </c>
      <c r="Y20" s="4">
        <f t="shared" si="10"/>
        <v>0.99983629863809276</v>
      </c>
      <c r="Z20" s="14">
        <f t="shared" si="11"/>
        <v>1</v>
      </c>
      <c r="AA20" s="16" t="s">
        <v>44</v>
      </c>
      <c r="AB20" s="4">
        <f t="shared" si="12"/>
        <v>1</v>
      </c>
      <c r="AC20" s="4">
        <f t="shared" si="13"/>
        <v>0</v>
      </c>
      <c r="AD20" s="4">
        <f t="shared" si="14"/>
        <v>0</v>
      </c>
      <c r="AE20" s="14">
        <f t="shared" si="15"/>
        <v>1</v>
      </c>
      <c r="AF20" s="17">
        <f t="shared" si="16"/>
        <v>0</v>
      </c>
      <c r="AG20" s="17">
        <f t="shared" si="17"/>
        <v>0</v>
      </c>
      <c r="AH20" s="15">
        <f t="shared" si="18"/>
        <v>0</v>
      </c>
    </row>
    <row r="21" spans="1:34" x14ac:dyDescent="0.15">
      <c r="A21" s="4">
        <f t="shared" si="19"/>
        <v>10</v>
      </c>
      <c r="B21" s="13"/>
      <c r="C21" s="13"/>
      <c r="D21" s="4">
        <f t="shared" si="0"/>
        <v>0</v>
      </c>
      <c r="E21" s="4">
        <f t="shared" si="1"/>
        <v>0</v>
      </c>
      <c r="F21" s="13">
        <v>0.3</v>
      </c>
      <c r="G21" s="4">
        <f>LOOKUP(F21,PV_Coeff!$A$3:$A$10,PV_Coeff!$E$3:$E$10)</f>
        <v>1.2</v>
      </c>
      <c r="H21" s="4">
        <f>LOOKUP(F21,PV_Coeff!$A$3:$A$10,PV_Coeff!$F$3:$F$10)</f>
        <v>16</v>
      </c>
      <c r="I21" s="4">
        <f>LOOKUP(F21,PV_Coeff!$A$3:$A$10,PV_Coeff!$L$3:$L$10)</f>
        <v>1</v>
      </c>
      <c r="J21" s="4">
        <f>LOOKUP(F21,PV_Coeff!$A$3:$A$10,PV_Coeff!$M$3:$M$10)</f>
        <v>20</v>
      </c>
      <c r="K21" s="14">
        <f t="shared" si="2"/>
        <v>0</v>
      </c>
      <c r="L21" s="14">
        <f t="shared" si="3"/>
        <v>0</v>
      </c>
      <c r="M21" s="13">
        <v>1</v>
      </c>
      <c r="N21" s="4">
        <f>LOOKUP(F21,PV_Coeff!$A$3:$A$10,PV_Coeff!$B$3:$B$10)*D21+LOOKUP(F21,PV_Coeff!$A$3:$A$10,PV_Coeff!$I$3:$I$10)*E21</f>
        <v>0</v>
      </c>
      <c r="O21" s="4">
        <f>LOOKUP(F21,PV_Coeff!$A$3:$A$10,PV_Coeff!$C$3:$C$10)*D21+LOOKUP(F21,PV_Coeff!$A$3:$A$10,PV_Coeff!$J$3:$J$10)*E21</f>
        <v>0</v>
      </c>
      <c r="P21" s="4">
        <f>LOOKUP(F21,PV_Coeff!$A$3:$A$10,PV_Coeff!$D$3:$D$10)*D21+LOOKUP(F21,PV_Coeff!$A$3:$A$10,PV_Coeff!$K$3:$K$10)*E21</f>
        <v>0</v>
      </c>
      <c r="Q21" s="15">
        <f t="shared" si="4"/>
        <v>1</v>
      </c>
      <c r="R21" s="13">
        <v>1</v>
      </c>
      <c r="S21" s="4">
        <f t="shared" si="5"/>
        <v>0</v>
      </c>
      <c r="T21" s="4">
        <f t="shared" si="6"/>
        <v>1</v>
      </c>
      <c r="U21" s="4">
        <f t="shared" si="7"/>
        <v>0</v>
      </c>
      <c r="V21" s="4">
        <f t="shared" si="8"/>
        <v>3.7</v>
      </c>
      <c r="W21" s="4">
        <f t="shared" si="9"/>
        <v>1.25</v>
      </c>
      <c r="X21" s="4">
        <v>1</v>
      </c>
      <c r="Y21" s="4">
        <f t="shared" si="10"/>
        <v>0.99983629863809276</v>
      </c>
      <c r="Z21" s="14">
        <f t="shared" si="11"/>
        <v>1</v>
      </c>
      <c r="AA21" s="16" t="s">
        <v>44</v>
      </c>
      <c r="AB21" s="4">
        <f t="shared" si="12"/>
        <v>1</v>
      </c>
      <c r="AC21" s="4">
        <f t="shared" si="13"/>
        <v>0</v>
      </c>
      <c r="AD21" s="4">
        <f t="shared" si="14"/>
        <v>0</v>
      </c>
      <c r="AE21" s="14">
        <f t="shared" si="15"/>
        <v>1</v>
      </c>
      <c r="AF21" s="17">
        <f t="shared" si="16"/>
        <v>0</v>
      </c>
      <c r="AG21" s="17">
        <f t="shared" si="17"/>
        <v>0</v>
      </c>
      <c r="AH21" s="15">
        <f t="shared" si="18"/>
        <v>0</v>
      </c>
    </row>
    <row r="22" spans="1:34" x14ac:dyDescent="0.15">
      <c r="A22" s="4">
        <f t="shared" si="19"/>
        <v>11</v>
      </c>
      <c r="B22" s="13"/>
      <c r="C22" s="13"/>
      <c r="D22" s="4">
        <f t="shared" si="0"/>
        <v>0</v>
      </c>
      <c r="E22" s="4">
        <f t="shared" si="1"/>
        <v>0</v>
      </c>
      <c r="F22" s="13">
        <v>0.3</v>
      </c>
      <c r="G22" s="4">
        <f>LOOKUP(F22,PV_Coeff!$A$3:$A$10,PV_Coeff!$E$3:$E$10)</f>
        <v>1.2</v>
      </c>
      <c r="H22" s="4">
        <f>LOOKUP(F22,PV_Coeff!$A$3:$A$10,PV_Coeff!$F$3:$F$10)</f>
        <v>16</v>
      </c>
      <c r="I22" s="4">
        <f>LOOKUP(F22,PV_Coeff!$A$3:$A$10,PV_Coeff!$L$3:$L$10)</f>
        <v>1</v>
      </c>
      <c r="J22" s="4">
        <f>LOOKUP(F22,PV_Coeff!$A$3:$A$10,PV_Coeff!$M$3:$M$10)</f>
        <v>20</v>
      </c>
      <c r="K22" s="14">
        <f t="shared" si="2"/>
        <v>0</v>
      </c>
      <c r="L22" s="14">
        <f t="shared" si="3"/>
        <v>0</v>
      </c>
      <c r="M22" s="13">
        <v>1</v>
      </c>
      <c r="N22" s="4">
        <f>LOOKUP(F22,PV_Coeff!$A$3:$A$10,PV_Coeff!$B$3:$B$10)*D22+LOOKUP(F22,PV_Coeff!$A$3:$A$10,PV_Coeff!$I$3:$I$10)*E22</f>
        <v>0</v>
      </c>
      <c r="O22" s="4">
        <f>LOOKUP(F22,PV_Coeff!$A$3:$A$10,PV_Coeff!$C$3:$C$10)*D22+LOOKUP(F22,PV_Coeff!$A$3:$A$10,PV_Coeff!$J$3:$J$10)*E22</f>
        <v>0</v>
      </c>
      <c r="P22" s="4">
        <f>LOOKUP(F22,PV_Coeff!$A$3:$A$10,PV_Coeff!$D$3:$D$10)*D22+LOOKUP(F22,PV_Coeff!$A$3:$A$10,PV_Coeff!$K$3:$K$10)*E22</f>
        <v>0</v>
      </c>
      <c r="Q22" s="15">
        <f t="shared" si="4"/>
        <v>1</v>
      </c>
      <c r="R22" s="13">
        <v>1</v>
      </c>
      <c r="S22" s="4">
        <f t="shared" si="5"/>
        <v>0</v>
      </c>
      <c r="T22" s="4">
        <f t="shared" si="6"/>
        <v>1</v>
      </c>
      <c r="U22" s="4">
        <f t="shared" si="7"/>
        <v>0</v>
      </c>
      <c r="V22" s="4">
        <f t="shared" si="8"/>
        <v>3.7</v>
      </c>
      <c r="W22" s="4">
        <f t="shared" si="9"/>
        <v>1.25</v>
      </c>
      <c r="X22" s="4">
        <v>1</v>
      </c>
      <c r="Y22" s="4">
        <f t="shared" si="10"/>
        <v>0.99983629863809276</v>
      </c>
      <c r="Z22" s="14">
        <f t="shared" si="11"/>
        <v>1</v>
      </c>
      <c r="AA22" s="16" t="s">
        <v>44</v>
      </c>
      <c r="AB22" s="4">
        <f t="shared" si="12"/>
        <v>1</v>
      </c>
      <c r="AC22" s="4">
        <f t="shared" si="13"/>
        <v>0</v>
      </c>
      <c r="AD22" s="4">
        <f t="shared" si="14"/>
        <v>0</v>
      </c>
      <c r="AE22" s="14">
        <f t="shared" si="15"/>
        <v>1</v>
      </c>
      <c r="AF22" s="17">
        <f t="shared" si="16"/>
        <v>0</v>
      </c>
      <c r="AG22" s="17">
        <f t="shared" si="17"/>
        <v>0</v>
      </c>
      <c r="AH22" s="15">
        <f t="shared" si="18"/>
        <v>0</v>
      </c>
    </row>
    <row r="23" spans="1:34" x14ac:dyDescent="0.15">
      <c r="A23" s="4">
        <f t="shared" si="19"/>
        <v>12</v>
      </c>
      <c r="B23" s="13"/>
      <c r="C23" s="13"/>
      <c r="D23" s="4">
        <f t="shared" si="0"/>
        <v>0</v>
      </c>
      <c r="E23" s="4">
        <f t="shared" si="1"/>
        <v>0</v>
      </c>
      <c r="F23" s="13">
        <v>0.3</v>
      </c>
      <c r="G23" s="4">
        <f>LOOKUP(F23,PV_Coeff!$A$3:$A$10,PV_Coeff!$E$3:$E$10)</f>
        <v>1.2</v>
      </c>
      <c r="H23" s="4">
        <f>LOOKUP(F23,PV_Coeff!$A$3:$A$10,PV_Coeff!$F$3:$F$10)</f>
        <v>16</v>
      </c>
      <c r="I23" s="4">
        <f>LOOKUP(F23,PV_Coeff!$A$3:$A$10,PV_Coeff!$L$3:$L$10)</f>
        <v>1</v>
      </c>
      <c r="J23" s="4">
        <f>LOOKUP(F23,PV_Coeff!$A$3:$A$10,PV_Coeff!$M$3:$M$10)</f>
        <v>20</v>
      </c>
      <c r="K23" s="14">
        <f t="shared" si="2"/>
        <v>0</v>
      </c>
      <c r="L23" s="14">
        <f t="shared" si="3"/>
        <v>0</v>
      </c>
      <c r="M23" s="13">
        <v>1</v>
      </c>
      <c r="N23" s="4">
        <f>LOOKUP(F23,PV_Coeff!$A$3:$A$10,PV_Coeff!$B$3:$B$10)*D23+LOOKUP(F23,PV_Coeff!$A$3:$A$10,PV_Coeff!$I$3:$I$10)*E23</f>
        <v>0</v>
      </c>
      <c r="O23" s="4">
        <f>LOOKUP(F23,PV_Coeff!$A$3:$A$10,PV_Coeff!$C$3:$C$10)*D23+LOOKUP(F23,PV_Coeff!$A$3:$A$10,PV_Coeff!$J$3:$J$10)*E23</f>
        <v>0</v>
      </c>
      <c r="P23" s="4">
        <f>LOOKUP(F23,PV_Coeff!$A$3:$A$10,PV_Coeff!$D$3:$D$10)*D23+LOOKUP(F23,PV_Coeff!$A$3:$A$10,PV_Coeff!$K$3:$K$10)*E23</f>
        <v>0</v>
      </c>
      <c r="Q23" s="15">
        <f t="shared" si="4"/>
        <v>1</v>
      </c>
      <c r="R23" s="13">
        <v>1</v>
      </c>
      <c r="S23" s="4">
        <f t="shared" si="5"/>
        <v>0</v>
      </c>
      <c r="T23" s="4">
        <f t="shared" si="6"/>
        <v>1</v>
      </c>
      <c r="U23" s="4">
        <f t="shared" si="7"/>
        <v>0</v>
      </c>
      <c r="V23" s="4">
        <f t="shared" si="8"/>
        <v>3.7</v>
      </c>
      <c r="W23" s="4">
        <f t="shared" si="9"/>
        <v>1.25</v>
      </c>
      <c r="X23" s="4">
        <v>1</v>
      </c>
      <c r="Y23" s="4">
        <f t="shared" si="10"/>
        <v>0.99983629863809276</v>
      </c>
      <c r="Z23" s="14">
        <f t="shared" si="11"/>
        <v>1</v>
      </c>
      <c r="AA23" s="16" t="s">
        <v>44</v>
      </c>
      <c r="AB23" s="4">
        <f t="shared" si="12"/>
        <v>1</v>
      </c>
      <c r="AC23" s="4">
        <f t="shared" si="13"/>
        <v>0</v>
      </c>
      <c r="AD23" s="4">
        <f t="shared" si="14"/>
        <v>0</v>
      </c>
      <c r="AE23" s="14">
        <f t="shared" si="15"/>
        <v>1</v>
      </c>
      <c r="AF23" s="17">
        <f t="shared" si="16"/>
        <v>0</v>
      </c>
      <c r="AG23" s="17">
        <f t="shared" si="17"/>
        <v>0</v>
      </c>
      <c r="AH23" s="15">
        <f t="shared" si="18"/>
        <v>0</v>
      </c>
    </row>
    <row r="24" spans="1:34" x14ac:dyDescent="0.15">
      <c r="A24" s="4">
        <f t="shared" si="19"/>
        <v>13</v>
      </c>
      <c r="B24" s="13"/>
      <c r="C24" s="13"/>
      <c r="D24" s="4">
        <f t="shared" si="0"/>
        <v>0</v>
      </c>
      <c r="E24" s="4">
        <f t="shared" si="1"/>
        <v>0</v>
      </c>
      <c r="F24" s="13">
        <v>0.3</v>
      </c>
      <c r="G24" s="4">
        <f>LOOKUP(F24,PV_Coeff!$A$3:$A$10,PV_Coeff!$E$3:$E$10)</f>
        <v>1.2</v>
      </c>
      <c r="H24" s="4">
        <f>LOOKUP(F24,PV_Coeff!$A$3:$A$10,PV_Coeff!$F$3:$F$10)</f>
        <v>16</v>
      </c>
      <c r="I24" s="4">
        <f>LOOKUP(F24,PV_Coeff!$A$3:$A$10,PV_Coeff!$L$3:$L$10)</f>
        <v>1</v>
      </c>
      <c r="J24" s="4">
        <f>LOOKUP(F24,PV_Coeff!$A$3:$A$10,PV_Coeff!$M$3:$M$10)</f>
        <v>20</v>
      </c>
      <c r="K24" s="14">
        <f t="shared" si="2"/>
        <v>0</v>
      </c>
      <c r="L24" s="14">
        <f t="shared" si="3"/>
        <v>0</v>
      </c>
      <c r="M24" s="13">
        <v>1</v>
      </c>
      <c r="N24" s="4">
        <f>LOOKUP(F24,PV_Coeff!$A$3:$A$10,PV_Coeff!$B$3:$B$10)*D24+LOOKUP(F24,PV_Coeff!$A$3:$A$10,PV_Coeff!$I$3:$I$10)*E24</f>
        <v>0</v>
      </c>
      <c r="O24" s="4">
        <f>LOOKUP(F24,PV_Coeff!$A$3:$A$10,PV_Coeff!$C$3:$C$10)*D24+LOOKUP(F24,PV_Coeff!$A$3:$A$10,PV_Coeff!$J$3:$J$10)*E24</f>
        <v>0</v>
      </c>
      <c r="P24" s="4">
        <f>LOOKUP(F24,PV_Coeff!$A$3:$A$10,PV_Coeff!$D$3:$D$10)*D24+LOOKUP(F24,PV_Coeff!$A$3:$A$10,PV_Coeff!$K$3:$K$10)*E24</f>
        <v>0</v>
      </c>
      <c r="Q24" s="15">
        <f t="shared" si="4"/>
        <v>1</v>
      </c>
      <c r="R24" s="13">
        <v>1</v>
      </c>
      <c r="S24" s="4">
        <f t="shared" si="5"/>
        <v>0</v>
      </c>
      <c r="T24" s="4">
        <f t="shared" si="6"/>
        <v>1</v>
      </c>
      <c r="U24" s="4">
        <f t="shared" si="7"/>
        <v>0</v>
      </c>
      <c r="V24" s="4">
        <f t="shared" si="8"/>
        <v>3.7</v>
      </c>
      <c r="W24" s="4">
        <f t="shared" si="9"/>
        <v>1.25</v>
      </c>
      <c r="X24" s="4">
        <v>1</v>
      </c>
      <c r="Y24" s="4">
        <f t="shared" si="10"/>
        <v>0.99983629863809276</v>
      </c>
      <c r="Z24" s="14">
        <f t="shared" si="11"/>
        <v>1</v>
      </c>
      <c r="AA24" s="16" t="s">
        <v>44</v>
      </c>
      <c r="AB24" s="4">
        <f t="shared" si="12"/>
        <v>1</v>
      </c>
      <c r="AC24" s="4">
        <f t="shared" si="13"/>
        <v>0</v>
      </c>
      <c r="AD24" s="4">
        <f t="shared" si="14"/>
        <v>0</v>
      </c>
      <c r="AE24" s="14">
        <f t="shared" si="15"/>
        <v>1</v>
      </c>
      <c r="AF24" s="17">
        <f t="shared" si="16"/>
        <v>0</v>
      </c>
      <c r="AG24" s="17">
        <f t="shared" si="17"/>
        <v>0</v>
      </c>
      <c r="AH24" s="15">
        <f t="shared" si="18"/>
        <v>0</v>
      </c>
    </row>
    <row r="25" spans="1:34" x14ac:dyDescent="0.15">
      <c r="A25" s="4">
        <f t="shared" si="19"/>
        <v>14</v>
      </c>
      <c r="B25" s="13"/>
      <c r="C25" s="13"/>
      <c r="D25" s="4">
        <f t="shared" si="0"/>
        <v>0</v>
      </c>
      <c r="E25" s="4">
        <f t="shared" si="1"/>
        <v>0</v>
      </c>
      <c r="F25" s="13">
        <v>0.3</v>
      </c>
      <c r="G25" s="4">
        <f>LOOKUP(F25,PV_Coeff!$A$3:$A$10,PV_Coeff!$E$3:$E$10)</f>
        <v>1.2</v>
      </c>
      <c r="H25" s="4">
        <f>LOOKUP(F25,PV_Coeff!$A$3:$A$10,PV_Coeff!$F$3:$F$10)</f>
        <v>16</v>
      </c>
      <c r="I25" s="4">
        <f>LOOKUP(F25,PV_Coeff!$A$3:$A$10,PV_Coeff!$L$3:$L$10)</f>
        <v>1</v>
      </c>
      <c r="J25" s="4">
        <f>LOOKUP(F25,PV_Coeff!$A$3:$A$10,PV_Coeff!$M$3:$M$10)</f>
        <v>20</v>
      </c>
      <c r="K25" s="14">
        <f t="shared" si="2"/>
        <v>0</v>
      </c>
      <c r="L25" s="14">
        <f t="shared" si="3"/>
        <v>0</v>
      </c>
      <c r="M25" s="13">
        <v>1</v>
      </c>
      <c r="N25" s="4">
        <f>LOOKUP(F25,PV_Coeff!$A$3:$A$10,PV_Coeff!$B$3:$B$10)*D25+LOOKUP(F25,PV_Coeff!$A$3:$A$10,PV_Coeff!$I$3:$I$10)*E25</f>
        <v>0</v>
      </c>
      <c r="O25" s="4">
        <f>LOOKUP(F25,PV_Coeff!$A$3:$A$10,PV_Coeff!$C$3:$C$10)*D25+LOOKUP(F25,PV_Coeff!$A$3:$A$10,PV_Coeff!$J$3:$J$10)*E25</f>
        <v>0</v>
      </c>
      <c r="P25" s="4">
        <f>LOOKUP(F25,PV_Coeff!$A$3:$A$10,PV_Coeff!$D$3:$D$10)*D25+LOOKUP(F25,PV_Coeff!$A$3:$A$10,PV_Coeff!$K$3:$K$10)*E25</f>
        <v>0</v>
      </c>
      <c r="Q25" s="15">
        <f t="shared" si="4"/>
        <v>1</v>
      </c>
      <c r="R25" s="13">
        <v>1</v>
      </c>
      <c r="S25" s="4">
        <f t="shared" si="5"/>
        <v>0</v>
      </c>
      <c r="T25" s="4">
        <f t="shared" si="6"/>
        <v>1</v>
      </c>
      <c r="U25" s="4">
        <f t="shared" si="7"/>
        <v>0</v>
      </c>
      <c r="V25" s="4">
        <f t="shared" si="8"/>
        <v>3.7</v>
      </c>
      <c r="W25" s="4">
        <f t="shared" si="9"/>
        <v>1.25</v>
      </c>
      <c r="X25" s="4">
        <v>1</v>
      </c>
      <c r="Y25" s="4">
        <f t="shared" si="10"/>
        <v>0.99983629863809276</v>
      </c>
      <c r="Z25" s="14">
        <f t="shared" si="11"/>
        <v>1</v>
      </c>
      <c r="AA25" s="16" t="s">
        <v>44</v>
      </c>
      <c r="AB25" s="4">
        <f t="shared" si="12"/>
        <v>1</v>
      </c>
      <c r="AC25" s="4">
        <f t="shared" si="13"/>
        <v>0</v>
      </c>
      <c r="AD25" s="4">
        <f t="shared" si="14"/>
        <v>0</v>
      </c>
      <c r="AE25" s="14">
        <f t="shared" si="15"/>
        <v>1</v>
      </c>
      <c r="AF25" s="17">
        <f t="shared" si="16"/>
        <v>0</v>
      </c>
      <c r="AG25" s="17">
        <f t="shared" si="17"/>
        <v>0</v>
      </c>
      <c r="AH25" s="15">
        <f t="shared" si="18"/>
        <v>0</v>
      </c>
    </row>
    <row r="26" spans="1:34" x14ac:dyDescent="0.15">
      <c r="A26" s="4">
        <f t="shared" si="19"/>
        <v>15</v>
      </c>
      <c r="B26" s="13"/>
      <c r="C26" s="13"/>
      <c r="D26" s="4">
        <f t="shared" si="0"/>
        <v>0</v>
      </c>
      <c r="E26" s="4">
        <f t="shared" si="1"/>
        <v>0</v>
      </c>
      <c r="F26" s="13">
        <v>0.3</v>
      </c>
      <c r="G26" s="4">
        <f>LOOKUP(F26,PV_Coeff!$A$3:$A$10,PV_Coeff!$E$3:$E$10)</f>
        <v>1.2</v>
      </c>
      <c r="H26" s="4">
        <f>LOOKUP(F26,PV_Coeff!$A$3:$A$10,PV_Coeff!$F$3:$F$10)</f>
        <v>16</v>
      </c>
      <c r="I26" s="4">
        <f>LOOKUP(F26,PV_Coeff!$A$3:$A$10,PV_Coeff!$L$3:$L$10)</f>
        <v>1</v>
      </c>
      <c r="J26" s="4">
        <f>LOOKUP(F26,PV_Coeff!$A$3:$A$10,PV_Coeff!$M$3:$M$10)</f>
        <v>20</v>
      </c>
      <c r="K26" s="14">
        <f t="shared" si="2"/>
        <v>0</v>
      </c>
      <c r="L26" s="14">
        <f t="shared" si="3"/>
        <v>0</v>
      </c>
      <c r="M26" s="13">
        <v>1</v>
      </c>
      <c r="N26" s="4">
        <f>LOOKUP(F26,PV_Coeff!$A$3:$A$10,PV_Coeff!$B$3:$B$10)*D26+LOOKUP(F26,PV_Coeff!$A$3:$A$10,PV_Coeff!$I$3:$I$10)*E26</f>
        <v>0</v>
      </c>
      <c r="O26" s="4">
        <f>LOOKUP(F26,PV_Coeff!$A$3:$A$10,PV_Coeff!$C$3:$C$10)*D26+LOOKUP(F26,PV_Coeff!$A$3:$A$10,PV_Coeff!$J$3:$J$10)*E26</f>
        <v>0</v>
      </c>
      <c r="P26" s="4">
        <f>LOOKUP(F26,PV_Coeff!$A$3:$A$10,PV_Coeff!$D$3:$D$10)*D26+LOOKUP(F26,PV_Coeff!$A$3:$A$10,PV_Coeff!$K$3:$K$10)*E26</f>
        <v>0</v>
      </c>
      <c r="Q26" s="15">
        <f t="shared" si="4"/>
        <v>1</v>
      </c>
      <c r="R26" s="13">
        <v>1</v>
      </c>
      <c r="S26" s="4">
        <f t="shared" si="5"/>
        <v>0</v>
      </c>
      <c r="T26" s="4">
        <f t="shared" si="6"/>
        <v>1</v>
      </c>
      <c r="U26" s="4">
        <f t="shared" si="7"/>
        <v>0</v>
      </c>
      <c r="V26" s="4">
        <f t="shared" si="8"/>
        <v>3.7</v>
      </c>
      <c r="W26" s="4">
        <f t="shared" si="9"/>
        <v>1.25</v>
      </c>
      <c r="X26" s="4">
        <v>1</v>
      </c>
      <c r="Y26" s="4">
        <f t="shared" si="10"/>
        <v>0.99983629863809276</v>
      </c>
      <c r="Z26" s="14">
        <f t="shared" si="11"/>
        <v>1</v>
      </c>
      <c r="AA26" s="16" t="s">
        <v>44</v>
      </c>
      <c r="AB26" s="4">
        <f t="shared" si="12"/>
        <v>1</v>
      </c>
      <c r="AC26" s="4">
        <f t="shared" si="13"/>
        <v>0</v>
      </c>
      <c r="AD26" s="4">
        <f t="shared" si="14"/>
        <v>0</v>
      </c>
      <c r="AE26" s="14">
        <f t="shared" si="15"/>
        <v>1</v>
      </c>
      <c r="AF26" s="17">
        <f t="shared" si="16"/>
        <v>0</v>
      </c>
      <c r="AG26" s="17">
        <f t="shared" si="17"/>
        <v>0</v>
      </c>
      <c r="AH26" s="15">
        <f t="shared" si="18"/>
        <v>0</v>
      </c>
    </row>
    <row r="27" spans="1:34" x14ac:dyDescent="0.15">
      <c r="A27" s="4">
        <f t="shared" si="19"/>
        <v>16</v>
      </c>
      <c r="B27" s="13"/>
      <c r="C27" s="13"/>
      <c r="D27" s="4">
        <f t="shared" si="0"/>
        <v>0</v>
      </c>
      <c r="E27" s="4">
        <f t="shared" si="1"/>
        <v>0</v>
      </c>
      <c r="F27" s="13">
        <v>0.3</v>
      </c>
      <c r="G27" s="4">
        <f>LOOKUP(F27,PV_Coeff!$A$3:$A$10,PV_Coeff!$E$3:$E$10)</f>
        <v>1.2</v>
      </c>
      <c r="H27" s="4">
        <f>LOOKUP(F27,PV_Coeff!$A$3:$A$10,PV_Coeff!$F$3:$F$10)</f>
        <v>16</v>
      </c>
      <c r="I27" s="4">
        <f>LOOKUP(F27,PV_Coeff!$A$3:$A$10,PV_Coeff!$L$3:$L$10)</f>
        <v>1</v>
      </c>
      <c r="J27" s="4">
        <f>LOOKUP(F27,PV_Coeff!$A$3:$A$10,PV_Coeff!$M$3:$M$10)</f>
        <v>20</v>
      </c>
      <c r="K27" s="14">
        <f t="shared" si="2"/>
        <v>0</v>
      </c>
      <c r="L27" s="14">
        <f t="shared" si="3"/>
        <v>0</v>
      </c>
      <c r="M27" s="13">
        <v>1</v>
      </c>
      <c r="N27" s="4">
        <f>LOOKUP(F27,PV_Coeff!$A$3:$A$10,PV_Coeff!$B$3:$B$10)*D27+LOOKUP(F27,PV_Coeff!$A$3:$A$10,PV_Coeff!$I$3:$I$10)*E27</f>
        <v>0</v>
      </c>
      <c r="O27" s="4">
        <f>LOOKUP(F27,PV_Coeff!$A$3:$A$10,PV_Coeff!$C$3:$C$10)*D27+LOOKUP(F27,PV_Coeff!$A$3:$A$10,PV_Coeff!$J$3:$J$10)*E27</f>
        <v>0</v>
      </c>
      <c r="P27" s="4">
        <f>LOOKUP(F27,PV_Coeff!$A$3:$A$10,PV_Coeff!$D$3:$D$10)*D27+LOOKUP(F27,PV_Coeff!$A$3:$A$10,PV_Coeff!$K$3:$K$10)*E27</f>
        <v>0</v>
      </c>
      <c r="Q27" s="15">
        <f t="shared" si="4"/>
        <v>1</v>
      </c>
      <c r="R27" s="13">
        <v>1</v>
      </c>
      <c r="S27" s="4">
        <f t="shared" si="5"/>
        <v>0</v>
      </c>
      <c r="T27" s="4">
        <f t="shared" si="6"/>
        <v>1</v>
      </c>
      <c r="U27" s="4">
        <f t="shared" si="7"/>
        <v>0</v>
      </c>
      <c r="V27" s="4">
        <f t="shared" si="8"/>
        <v>3.7</v>
      </c>
      <c r="W27" s="4">
        <f t="shared" si="9"/>
        <v>1.25</v>
      </c>
      <c r="X27" s="4">
        <v>1</v>
      </c>
      <c r="Y27" s="4">
        <f t="shared" si="10"/>
        <v>0.99983629863809276</v>
      </c>
      <c r="Z27" s="14">
        <f t="shared" si="11"/>
        <v>1</v>
      </c>
      <c r="AA27" s="16" t="s">
        <v>44</v>
      </c>
      <c r="AB27" s="4">
        <f t="shared" si="12"/>
        <v>1</v>
      </c>
      <c r="AC27" s="4">
        <f t="shared" si="13"/>
        <v>0</v>
      </c>
      <c r="AD27" s="4">
        <f t="shared" si="14"/>
        <v>0</v>
      </c>
      <c r="AE27" s="14">
        <f t="shared" si="15"/>
        <v>1</v>
      </c>
      <c r="AF27" s="17">
        <f t="shared" si="16"/>
        <v>0</v>
      </c>
      <c r="AG27" s="17">
        <f t="shared" si="17"/>
        <v>0</v>
      </c>
      <c r="AH27" s="15">
        <f t="shared" si="18"/>
        <v>0</v>
      </c>
    </row>
    <row r="28" spans="1:34" x14ac:dyDescent="0.15">
      <c r="A28" s="4">
        <f t="shared" si="19"/>
        <v>17</v>
      </c>
      <c r="B28" s="13"/>
      <c r="C28" s="13"/>
      <c r="D28" s="4">
        <f t="shared" si="0"/>
        <v>0</v>
      </c>
      <c r="E28" s="4">
        <f t="shared" si="1"/>
        <v>0</v>
      </c>
      <c r="F28" s="13">
        <v>0.3</v>
      </c>
      <c r="G28" s="4">
        <f>LOOKUP(F28,PV_Coeff!$A$3:$A$10,PV_Coeff!$E$3:$E$10)</f>
        <v>1.2</v>
      </c>
      <c r="H28" s="4">
        <f>LOOKUP(F28,PV_Coeff!$A$3:$A$10,PV_Coeff!$F$3:$F$10)</f>
        <v>16</v>
      </c>
      <c r="I28" s="4">
        <f>LOOKUP(F28,PV_Coeff!$A$3:$A$10,PV_Coeff!$L$3:$L$10)</f>
        <v>1</v>
      </c>
      <c r="J28" s="4">
        <f>LOOKUP(F28,PV_Coeff!$A$3:$A$10,PV_Coeff!$M$3:$M$10)</f>
        <v>20</v>
      </c>
      <c r="K28" s="14">
        <f t="shared" si="2"/>
        <v>0</v>
      </c>
      <c r="L28" s="14">
        <f t="shared" si="3"/>
        <v>0</v>
      </c>
      <c r="M28" s="13">
        <v>1</v>
      </c>
      <c r="N28" s="4">
        <f>LOOKUP(F28,PV_Coeff!$A$3:$A$10,PV_Coeff!$B$3:$B$10)*D28+LOOKUP(F28,PV_Coeff!$A$3:$A$10,PV_Coeff!$I$3:$I$10)*E28</f>
        <v>0</v>
      </c>
      <c r="O28" s="4">
        <f>LOOKUP(F28,PV_Coeff!$A$3:$A$10,PV_Coeff!$C$3:$C$10)*D28+LOOKUP(F28,PV_Coeff!$A$3:$A$10,PV_Coeff!$J$3:$J$10)*E28</f>
        <v>0</v>
      </c>
      <c r="P28" s="4">
        <f>LOOKUP(F28,PV_Coeff!$A$3:$A$10,PV_Coeff!$D$3:$D$10)*D28+LOOKUP(F28,PV_Coeff!$A$3:$A$10,PV_Coeff!$K$3:$K$10)*E28</f>
        <v>0</v>
      </c>
      <c r="Q28" s="15">
        <f t="shared" si="4"/>
        <v>1</v>
      </c>
      <c r="R28" s="13">
        <v>1</v>
      </c>
      <c r="S28" s="4">
        <f t="shared" si="5"/>
        <v>0</v>
      </c>
      <c r="T28" s="4">
        <f t="shared" si="6"/>
        <v>1</v>
      </c>
      <c r="U28" s="4">
        <f t="shared" si="7"/>
        <v>0</v>
      </c>
      <c r="V28" s="4">
        <f t="shared" si="8"/>
        <v>3.7</v>
      </c>
      <c r="W28" s="4">
        <f t="shared" si="9"/>
        <v>1.25</v>
      </c>
      <c r="X28" s="4">
        <v>1</v>
      </c>
      <c r="Y28" s="4">
        <f t="shared" si="10"/>
        <v>0.99983629863809276</v>
      </c>
      <c r="Z28" s="14">
        <f t="shared" si="11"/>
        <v>1</v>
      </c>
      <c r="AA28" s="16" t="s">
        <v>44</v>
      </c>
      <c r="AB28" s="4">
        <f t="shared" si="12"/>
        <v>1</v>
      </c>
      <c r="AC28" s="4">
        <f t="shared" si="13"/>
        <v>0</v>
      </c>
      <c r="AD28" s="4">
        <f t="shared" si="14"/>
        <v>0</v>
      </c>
      <c r="AE28" s="14">
        <f t="shared" si="15"/>
        <v>1</v>
      </c>
      <c r="AF28" s="17">
        <f t="shared" si="16"/>
        <v>0</v>
      </c>
      <c r="AG28" s="17">
        <f t="shared" si="17"/>
        <v>0</v>
      </c>
      <c r="AH28" s="15">
        <f t="shared" si="18"/>
        <v>0</v>
      </c>
    </row>
    <row r="29" spans="1:34" x14ac:dyDescent="0.15">
      <c r="A29" s="4">
        <f t="shared" si="19"/>
        <v>18</v>
      </c>
      <c r="B29" s="13"/>
      <c r="C29" s="13"/>
      <c r="D29" s="4">
        <f t="shared" si="0"/>
        <v>0</v>
      </c>
      <c r="E29" s="4">
        <f t="shared" si="1"/>
        <v>0</v>
      </c>
      <c r="F29" s="13">
        <v>0.3</v>
      </c>
      <c r="G29" s="4">
        <f>LOOKUP(F29,PV_Coeff!$A$3:$A$10,PV_Coeff!$E$3:$E$10)</f>
        <v>1.2</v>
      </c>
      <c r="H29" s="4">
        <f>LOOKUP(F29,PV_Coeff!$A$3:$A$10,PV_Coeff!$F$3:$F$10)</f>
        <v>16</v>
      </c>
      <c r="I29" s="4">
        <f>LOOKUP(F29,PV_Coeff!$A$3:$A$10,PV_Coeff!$L$3:$L$10)</f>
        <v>1</v>
      </c>
      <c r="J29" s="4">
        <f>LOOKUP(F29,PV_Coeff!$A$3:$A$10,PV_Coeff!$M$3:$M$10)</f>
        <v>20</v>
      </c>
      <c r="K29" s="14">
        <f t="shared" si="2"/>
        <v>0</v>
      </c>
      <c r="L29" s="14">
        <f t="shared" si="3"/>
        <v>0</v>
      </c>
      <c r="M29" s="13">
        <v>1</v>
      </c>
      <c r="N29" s="4">
        <f>LOOKUP(F29,PV_Coeff!$A$3:$A$10,PV_Coeff!$B$3:$B$10)*D29+LOOKUP(F29,PV_Coeff!$A$3:$A$10,PV_Coeff!$I$3:$I$10)*E29</f>
        <v>0</v>
      </c>
      <c r="O29" s="4">
        <f>LOOKUP(F29,PV_Coeff!$A$3:$A$10,PV_Coeff!$C$3:$C$10)*D29+LOOKUP(F29,PV_Coeff!$A$3:$A$10,PV_Coeff!$J$3:$J$10)*E29</f>
        <v>0</v>
      </c>
      <c r="P29" s="4">
        <f>LOOKUP(F29,PV_Coeff!$A$3:$A$10,PV_Coeff!$D$3:$D$10)*D29+LOOKUP(F29,PV_Coeff!$A$3:$A$10,PV_Coeff!$K$3:$K$10)*E29</f>
        <v>0</v>
      </c>
      <c r="Q29" s="15">
        <f t="shared" si="4"/>
        <v>1</v>
      </c>
      <c r="R29" s="13">
        <v>1</v>
      </c>
      <c r="S29" s="4">
        <f t="shared" si="5"/>
        <v>0</v>
      </c>
      <c r="T29" s="4">
        <f t="shared" si="6"/>
        <v>1</v>
      </c>
      <c r="U29" s="4">
        <f t="shared" si="7"/>
        <v>0</v>
      </c>
      <c r="V29" s="4">
        <f t="shared" si="8"/>
        <v>3.7</v>
      </c>
      <c r="W29" s="4">
        <f t="shared" si="9"/>
        <v>1.25</v>
      </c>
      <c r="X29" s="4">
        <v>1</v>
      </c>
      <c r="Y29" s="4">
        <f t="shared" si="10"/>
        <v>0.99983629863809276</v>
      </c>
      <c r="Z29" s="14">
        <f t="shared" si="11"/>
        <v>1</v>
      </c>
      <c r="AA29" s="16" t="s">
        <v>44</v>
      </c>
      <c r="AB29" s="4">
        <f t="shared" si="12"/>
        <v>1</v>
      </c>
      <c r="AC29" s="4">
        <f t="shared" si="13"/>
        <v>0</v>
      </c>
      <c r="AD29" s="4">
        <f t="shared" si="14"/>
        <v>0</v>
      </c>
      <c r="AE29" s="14">
        <f t="shared" si="15"/>
        <v>1</v>
      </c>
      <c r="AF29" s="17">
        <f t="shared" si="16"/>
        <v>0</v>
      </c>
      <c r="AG29" s="17">
        <f t="shared" si="17"/>
        <v>0</v>
      </c>
      <c r="AH29" s="15">
        <f t="shared" si="18"/>
        <v>0</v>
      </c>
    </row>
    <row r="30" spans="1:34" ht="14.25" thickBot="1" x14ac:dyDescent="0.2">
      <c r="A30" s="4">
        <f t="shared" si="19"/>
        <v>19</v>
      </c>
      <c r="B30" s="13"/>
      <c r="C30" s="13"/>
      <c r="D30" s="4">
        <f t="shared" si="0"/>
        <v>0</v>
      </c>
      <c r="E30" s="4">
        <f t="shared" si="1"/>
        <v>0</v>
      </c>
      <c r="F30" s="13">
        <v>0.3</v>
      </c>
      <c r="G30" s="4">
        <f>LOOKUP(F30,PV_Coeff!$A$3:$A$10,PV_Coeff!$E$3:$E$10)</f>
        <v>1.2</v>
      </c>
      <c r="H30" s="4">
        <f>LOOKUP(F30,PV_Coeff!$A$3:$A$10,PV_Coeff!$F$3:$F$10)</f>
        <v>16</v>
      </c>
      <c r="I30" s="4">
        <f>LOOKUP(F30,PV_Coeff!$A$3:$A$10,PV_Coeff!$L$3:$L$10)</f>
        <v>1</v>
      </c>
      <c r="J30" s="4">
        <f>LOOKUP(F30,PV_Coeff!$A$3:$A$10,PV_Coeff!$M$3:$M$10)</f>
        <v>20</v>
      </c>
      <c r="K30" s="14">
        <f t="shared" si="2"/>
        <v>0</v>
      </c>
      <c r="L30" s="14">
        <f t="shared" si="3"/>
        <v>0</v>
      </c>
      <c r="M30" s="13">
        <v>1</v>
      </c>
      <c r="N30" s="4">
        <f>LOOKUP(F30,PV_Coeff!$A$3:$A$10,PV_Coeff!$B$3:$B$10)*D30+LOOKUP(F30,PV_Coeff!$A$3:$A$10,PV_Coeff!$I$3:$I$10)*E30</f>
        <v>0</v>
      </c>
      <c r="O30" s="4">
        <f>LOOKUP(F30,PV_Coeff!$A$3:$A$10,PV_Coeff!$C$3:$C$10)*D30+LOOKUP(F30,PV_Coeff!$A$3:$A$10,PV_Coeff!$J$3:$J$10)*E30</f>
        <v>0</v>
      </c>
      <c r="P30" s="4">
        <f>LOOKUP(F30,PV_Coeff!$A$3:$A$10,PV_Coeff!$D$3:$D$10)*D30+LOOKUP(F30,PV_Coeff!$A$3:$A$10,PV_Coeff!$K$3:$K$10)*E30</f>
        <v>0</v>
      </c>
      <c r="Q30" s="15">
        <f t="shared" si="4"/>
        <v>1</v>
      </c>
      <c r="R30" s="13">
        <v>1</v>
      </c>
      <c r="S30" s="4">
        <f t="shared" si="5"/>
        <v>0</v>
      </c>
      <c r="T30" s="4">
        <f t="shared" si="6"/>
        <v>1</v>
      </c>
      <c r="U30" s="4">
        <f t="shared" si="7"/>
        <v>0</v>
      </c>
      <c r="V30" s="4">
        <f t="shared" si="8"/>
        <v>3.7</v>
      </c>
      <c r="W30" s="4">
        <f t="shared" si="9"/>
        <v>1.25</v>
      </c>
      <c r="X30" s="4">
        <v>1</v>
      </c>
      <c r="Y30" s="4">
        <f t="shared" si="10"/>
        <v>0.99983629863809276</v>
      </c>
      <c r="Z30" s="14">
        <f t="shared" si="11"/>
        <v>1</v>
      </c>
      <c r="AA30" s="16" t="s">
        <v>44</v>
      </c>
      <c r="AB30" s="4">
        <f t="shared" si="12"/>
        <v>1</v>
      </c>
      <c r="AC30" s="4">
        <f t="shared" si="13"/>
        <v>0</v>
      </c>
      <c r="AD30" s="4">
        <f t="shared" si="14"/>
        <v>0</v>
      </c>
      <c r="AE30" s="14">
        <f t="shared" si="15"/>
        <v>1</v>
      </c>
      <c r="AF30" s="17">
        <f t="shared" si="16"/>
        <v>0</v>
      </c>
      <c r="AG30" s="17">
        <f t="shared" si="17"/>
        <v>0</v>
      </c>
      <c r="AH30" s="18">
        <f t="shared" si="18"/>
        <v>0</v>
      </c>
    </row>
    <row r="31" spans="1:34" ht="14.25" thickBot="1" x14ac:dyDescent="0.2">
      <c r="AH31" s="19">
        <f>SUM(AH12:AH30)</f>
        <v>0</v>
      </c>
    </row>
  </sheetData>
  <phoneticPr fontId="1"/>
  <dataValidations count="3">
    <dataValidation type="list" allowBlank="1" showInputMessage="1" showErrorMessage="1" sqref="C11:C30">
      <formula1>$C$1:$C$2</formula1>
    </dataValidation>
    <dataValidation type="list" allowBlank="1" showInputMessage="1" showErrorMessage="1" sqref="F11:F30">
      <formula1>$F$1:$F$8</formula1>
    </dataValidation>
    <dataValidation type="list" allowBlank="1" showInputMessage="1" showErrorMessage="1" sqref="AA11:AA30">
      <formula1>$AA$1:$AA$3</formula1>
    </dataValidation>
  </dataValidations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G9" zoomScale="90" workbookViewId="0">
      <selection activeCell="M31" sqref="M30:M31"/>
    </sheetView>
  </sheetViews>
  <sheetFormatPr defaultRowHeight="13.5" x14ac:dyDescent="0.15"/>
  <cols>
    <col min="2" max="2" width="18" customWidth="1"/>
    <col min="4" max="4" width="17.625" customWidth="1"/>
    <col min="5" max="5" width="15.875" customWidth="1"/>
    <col min="6" max="6" width="12.375" customWidth="1"/>
    <col min="7" max="7" width="14" customWidth="1"/>
    <col min="8" max="8" width="11.75" customWidth="1"/>
    <col min="9" max="9" width="12.875" customWidth="1"/>
    <col min="10" max="11" width="9" customWidth="1"/>
    <col min="12" max="12" width="10.875" customWidth="1"/>
    <col min="13" max="13" width="8" customWidth="1"/>
    <col min="14" max="16" width="12.625" customWidth="1"/>
    <col min="17" max="17" width="9.125" customWidth="1"/>
    <col min="18" max="18" width="12.125" customWidth="1"/>
  </cols>
  <sheetData>
    <row r="1" spans="1:18" hidden="1" x14ac:dyDescent="0.15">
      <c r="C1">
        <v>0.3</v>
      </c>
      <c r="M1" t="s">
        <v>16</v>
      </c>
    </row>
    <row r="2" spans="1:18" hidden="1" x14ac:dyDescent="0.15">
      <c r="C2">
        <v>0.5</v>
      </c>
      <c r="M2" t="s">
        <v>18</v>
      </c>
    </row>
    <row r="3" spans="1:18" hidden="1" x14ac:dyDescent="0.15">
      <c r="C3">
        <v>1</v>
      </c>
      <c r="M3" t="s">
        <v>216</v>
      </c>
    </row>
    <row r="4" spans="1:18" hidden="1" x14ac:dyDescent="0.15">
      <c r="C4">
        <v>1.5</v>
      </c>
    </row>
    <row r="5" spans="1:18" hidden="1" x14ac:dyDescent="0.15">
      <c r="C5">
        <v>2</v>
      </c>
    </row>
    <row r="6" spans="1:18" hidden="1" x14ac:dyDescent="0.15">
      <c r="C6">
        <v>2.5</v>
      </c>
    </row>
    <row r="7" spans="1:18" hidden="1" x14ac:dyDescent="0.15">
      <c r="C7">
        <v>3</v>
      </c>
    </row>
    <row r="8" spans="1:18" hidden="1" x14ac:dyDescent="0.15">
      <c r="C8">
        <v>4</v>
      </c>
    </row>
    <row r="10" spans="1:18" s="2" customFormat="1" ht="54" x14ac:dyDescent="0.15">
      <c r="A10" s="6" t="s">
        <v>96</v>
      </c>
      <c r="B10" s="6" t="s">
        <v>97</v>
      </c>
      <c r="C10" s="6" t="s">
        <v>98</v>
      </c>
      <c r="D10" s="6" t="s">
        <v>99</v>
      </c>
      <c r="E10" s="6" t="s">
        <v>100</v>
      </c>
      <c r="F10" s="6" t="s">
        <v>101</v>
      </c>
      <c r="G10" s="6" t="s">
        <v>102</v>
      </c>
      <c r="H10" s="6" t="s">
        <v>103</v>
      </c>
      <c r="I10" s="6" t="s">
        <v>104</v>
      </c>
      <c r="J10" s="6" t="s">
        <v>105</v>
      </c>
      <c r="K10" s="6" t="s">
        <v>106</v>
      </c>
      <c r="L10" s="6" t="s">
        <v>107</v>
      </c>
      <c r="M10" s="6" t="s">
        <v>92</v>
      </c>
      <c r="N10" s="6" t="s">
        <v>109</v>
      </c>
      <c r="O10" s="6" t="s">
        <v>110</v>
      </c>
      <c r="P10" s="6" t="s">
        <v>218</v>
      </c>
      <c r="Q10" s="6" t="s">
        <v>48</v>
      </c>
      <c r="R10" s="6" t="s">
        <v>108</v>
      </c>
    </row>
    <row r="11" spans="1:18" x14ac:dyDescent="0.15">
      <c r="A11" s="4">
        <v>0</v>
      </c>
      <c r="B11" s="13" t="s">
        <v>213</v>
      </c>
      <c r="C11" s="13">
        <v>2</v>
      </c>
      <c r="D11" s="15">
        <f>235+19.8*C11+75.07*C11^2</f>
        <v>574.88</v>
      </c>
      <c r="E11" s="13">
        <v>32</v>
      </c>
      <c r="F11" s="4">
        <f>IF(AND(E11&gt;=1,E11&lt;=10),1,0)</f>
        <v>0</v>
      </c>
      <c r="G11" s="4">
        <f>IF(AND(E11&gt;10,E11&lt;20),1,0)</f>
        <v>0</v>
      </c>
      <c r="H11" s="4">
        <f>IF(E11&gt;=20,1,0)</f>
        <v>1</v>
      </c>
      <c r="I11" s="4">
        <f>3-0.5*(E11-1)/3</f>
        <v>-2.166666666666667</v>
      </c>
      <c r="J11" s="4">
        <f>1.5-0.5*(E11-10)/10</f>
        <v>0.39999999999999991</v>
      </c>
      <c r="K11" s="4">
        <v>1</v>
      </c>
      <c r="L11" s="14">
        <f>I11*F11+J11*G11+K11*H11</f>
        <v>1</v>
      </c>
      <c r="M11" s="13" t="s">
        <v>219</v>
      </c>
      <c r="N11" s="4">
        <f>IF(M11="CS",1,0)</f>
        <v>0</v>
      </c>
      <c r="O11" s="4">
        <f>IF(M11="SS",1,0)</f>
        <v>0</v>
      </c>
      <c r="P11" s="4">
        <f>IF(M11="Ni_alloy",1,0)</f>
        <v>1</v>
      </c>
      <c r="Q11" s="14">
        <f>1.2*N11+2*O11+5.5*P11</f>
        <v>5.5</v>
      </c>
      <c r="R11" s="22">
        <f>D11*E11*L11*Q11</f>
        <v>101178.88</v>
      </c>
    </row>
    <row r="12" spans="1:18" x14ac:dyDescent="0.15">
      <c r="A12" s="4">
        <f>A11+1</f>
        <v>1</v>
      </c>
      <c r="B12" s="13"/>
      <c r="C12" s="13"/>
      <c r="D12" s="15">
        <f t="shared" ref="D12:D20" si="0">235+19.8*C12+75.07*C12^2</f>
        <v>235</v>
      </c>
      <c r="E12" s="13"/>
      <c r="F12" s="4">
        <f t="shared" ref="F12:F20" si="1">IF(AND(E12&gt;=1,E12&lt;=10),1,0)</f>
        <v>0</v>
      </c>
      <c r="G12" s="4">
        <f t="shared" ref="G12:G20" si="2">IF(AND(E12&gt;10,E12&lt;20),1,0)</f>
        <v>0</v>
      </c>
      <c r="H12" s="4">
        <f t="shared" ref="H12:H20" si="3">IF(E12&gt;=20,1,0)</f>
        <v>0</v>
      </c>
      <c r="I12" s="4">
        <f t="shared" ref="I12:I20" si="4">3-0.5*(E12-1)/3</f>
        <v>3.1666666666666665</v>
      </c>
      <c r="J12" s="4">
        <f t="shared" ref="J12:J20" si="5">1.5-0.5*(E12-10)/10</f>
        <v>2</v>
      </c>
      <c r="K12" s="4">
        <v>1</v>
      </c>
      <c r="L12" s="14">
        <f t="shared" ref="L12:L20" si="6">I12*F12+J12*G12+K12*H12</f>
        <v>0</v>
      </c>
      <c r="M12" s="13"/>
      <c r="N12" s="4">
        <f t="shared" ref="N12:N20" si="7">IF(M12="CS",1,0)</f>
        <v>0</v>
      </c>
      <c r="O12" s="4">
        <f t="shared" ref="O12:O20" si="8">IF(M12="SS",1,0)</f>
        <v>0</v>
      </c>
      <c r="P12" s="4">
        <f t="shared" ref="P12:P20" si="9">IF(M12="Ni_alloy",1,0)</f>
        <v>0</v>
      </c>
      <c r="Q12" s="14">
        <f t="shared" ref="Q12:Q20" si="10">1.2*N12+2*O12+5.5*P12</f>
        <v>0</v>
      </c>
      <c r="R12" s="22">
        <f t="shared" ref="R12:R20" si="11">D12*E12*L12*Q12</f>
        <v>0</v>
      </c>
    </row>
    <row r="13" spans="1:18" x14ac:dyDescent="0.15">
      <c r="A13" s="4">
        <f t="shared" ref="A13:A20" si="12">A12+1</f>
        <v>2</v>
      </c>
      <c r="B13" s="13"/>
      <c r="C13" s="13"/>
      <c r="D13" s="15">
        <f t="shared" si="0"/>
        <v>235</v>
      </c>
      <c r="E13" s="13"/>
      <c r="F13" s="4">
        <f t="shared" si="1"/>
        <v>0</v>
      </c>
      <c r="G13" s="4">
        <f t="shared" si="2"/>
        <v>0</v>
      </c>
      <c r="H13" s="4">
        <f t="shared" si="3"/>
        <v>0</v>
      </c>
      <c r="I13" s="4">
        <f t="shared" si="4"/>
        <v>3.1666666666666665</v>
      </c>
      <c r="J13" s="4">
        <f t="shared" si="5"/>
        <v>2</v>
      </c>
      <c r="K13" s="4">
        <v>1</v>
      </c>
      <c r="L13" s="14">
        <f t="shared" si="6"/>
        <v>0</v>
      </c>
      <c r="M13" s="13"/>
      <c r="N13" s="4">
        <f t="shared" si="7"/>
        <v>0</v>
      </c>
      <c r="O13" s="4">
        <f t="shared" si="8"/>
        <v>0</v>
      </c>
      <c r="P13" s="4">
        <f t="shared" si="9"/>
        <v>0</v>
      </c>
      <c r="Q13" s="14">
        <f t="shared" si="10"/>
        <v>0</v>
      </c>
      <c r="R13" s="22">
        <f t="shared" si="11"/>
        <v>0</v>
      </c>
    </row>
    <row r="14" spans="1:18" x14ac:dyDescent="0.15">
      <c r="A14" s="4">
        <f t="shared" si="12"/>
        <v>3</v>
      </c>
      <c r="B14" s="13"/>
      <c r="C14" s="13"/>
      <c r="D14" s="15">
        <f t="shared" si="0"/>
        <v>235</v>
      </c>
      <c r="E14" s="13"/>
      <c r="F14" s="4">
        <f t="shared" si="1"/>
        <v>0</v>
      </c>
      <c r="G14" s="4">
        <f t="shared" si="2"/>
        <v>0</v>
      </c>
      <c r="H14" s="4">
        <f t="shared" si="3"/>
        <v>0</v>
      </c>
      <c r="I14" s="4">
        <f t="shared" si="4"/>
        <v>3.1666666666666665</v>
      </c>
      <c r="J14" s="4">
        <f t="shared" si="5"/>
        <v>2</v>
      </c>
      <c r="K14" s="4">
        <v>1</v>
      </c>
      <c r="L14" s="14">
        <f t="shared" si="6"/>
        <v>0</v>
      </c>
      <c r="M14" s="13"/>
      <c r="N14" s="4">
        <f t="shared" si="7"/>
        <v>0</v>
      </c>
      <c r="O14" s="4">
        <f t="shared" si="8"/>
        <v>0</v>
      </c>
      <c r="P14" s="4">
        <f t="shared" si="9"/>
        <v>0</v>
      </c>
      <c r="Q14" s="14">
        <f t="shared" si="10"/>
        <v>0</v>
      </c>
      <c r="R14" s="22">
        <f t="shared" si="11"/>
        <v>0</v>
      </c>
    </row>
    <row r="15" spans="1:18" x14ac:dyDescent="0.15">
      <c r="A15" s="4">
        <f t="shared" si="12"/>
        <v>4</v>
      </c>
      <c r="B15" s="13"/>
      <c r="C15" s="13"/>
      <c r="D15" s="15">
        <f t="shared" si="0"/>
        <v>235</v>
      </c>
      <c r="E15" s="13"/>
      <c r="F15" s="4">
        <f t="shared" si="1"/>
        <v>0</v>
      </c>
      <c r="G15" s="4">
        <f t="shared" si="2"/>
        <v>0</v>
      </c>
      <c r="H15" s="4">
        <f t="shared" si="3"/>
        <v>0</v>
      </c>
      <c r="I15" s="4">
        <f t="shared" si="4"/>
        <v>3.1666666666666665</v>
      </c>
      <c r="J15" s="4">
        <f t="shared" si="5"/>
        <v>2</v>
      </c>
      <c r="K15" s="4">
        <v>1</v>
      </c>
      <c r="L15" s="14">
        <f t="shared" si="6"/>
        <v>0</v>
      </c>
      <c r="M15" s="13"/>
      <c r="N15" s="4">
        <f t="shared" si="7"/>
        <v>0</v>
      </c>
      <c r="O15" s="4">
        <f t="shared" si="8"/>
        <v>0</v>
      </c>
      <c r="P15" s="4">
        <f t="shared" si="9"/>
        <v>0</v>
      </c>
      <c r="Q15" s="14">
        <f t="shared" si="10"/>
        <v>0</v>
      </c>
      <c r="R15" s="22">
        <f t="shared" si="11"/>
        <v>0</v>
      </c>
    </row>
    <row r="16" spans="1:18" x14ac:dyDescent="0.15">
      <c r="A16" s="4">
        <f t="shared" si="12"/>
        <v>5</v>
      </c>
      <c r="B16" s="13"/>
      <c r="C16" s="13"/>
      <c r="D16" s="15">
        <f t="shared" si="0"/>
        <v>235</v>
      </c>
      <c r="E16" s="13"/>
      <c r="F16" s="4">
        <f t="shared" si="1"/>
        <v>0</v>
      </c>
      <c r="G16" s="4">
        <f t="shared" si="2"/>
        <v>0</v>
      </c>
      <c r="H16" s="4">
        <f t="shared" si="3"/>
        <v>0</v>
      </c>
      <c r="I16" s="4">
        <f t="shared" si="4"/>
        <v>3.1666666666666665</v>
      </c>
      <c r="J16" s="4">
        <f t="shared" si="5"/>
        <v>2</v>
      </c>
      <c r="K16" s="4">
        <v>1</v>
      </c>
      <c r="L16" s="14">
        <f t="shared" si="6"/>
        <v>0</v>
      </c>
      <c r="M16" s="13"/>
      <c r="N16" s="4">
        <f t="shared" si="7"/>
        <v>0</v>
      </c>
      <c r="O16" s="4">
        <f t="shared" si="8"/>
        <v>0</v>
      </c>
      <c r="P16" s="4">
        <f t="shared" si="9"/>
        <v>0</v>
      </c>
      <c r="Q16" s="14">
        <f t="shared" si="10"/>
        <v>0</v>
      </c>
      <c r="R16" s="22">
        <f t="shared" si="11"/>
        <v>0</v>
      </c>
    </row>
    <row r="17" spans="1:18" x14ac:dyDescent="0.15">
      <c r="A17" s="4">
        <f t="shared" si="12"/>
        <v>6</v>
      </c>
      <c r="B17" s="13"/>
      <c r="C17" s="13"/>
      <c r="D17" s="15">
        <f t="shared" si="0"/>
        <v>235</v>
      </c>
      <c r="E17" s="13"/>
      <c r="F17" s="4">
        <f t="shared" si="1"/>
        <v>0</v>
      </c>
      <c r="G17" s="4">
        <f t="shared" si="2"/>
        <v>0</v>
      </c>
      <c r="H17" s="4">
        <f t="shared" si="3"/>
        <v>0</v>
      </c>
      <c r="I17" s="4">
        <f t="shared" si="4"/>
        <v>3.1666666666666665</v>
      </c>
      <c r="J17" s="4">
        <f t="shared" si="5"/>
        <v>2</v>
      </c>
      <c r="K17" s="4">
        <v>1</v>
      </c>
      <c r="L17" s="14">
        <f t="shared" si="6"/>
        <v>0</v>
      </c>
      <c r="M17" s="13"/>
      <c r="N17" s="4">
        <f t="shared" si="7"/>
        <v>0</v>
      </c>
      <c r="O17" s="4">
        <f t="shared" si="8"/>
        <v>0</v>
      </c>
      <c r="P17" s="4">
        <f t="shared" si="9"/>
        <v>0</v>
      </c>
      <c r="Q17" s="14">
        <f t="shared" si="10"/>
        <v>0</v>
      </c>
      <c r="R17" s="22">
        <f t="shared" si="11"/>
        <v>0</v>
      </c>
    </row>
    <row r="18" spans="1:18" x14ac:dyDescent="0.15">
      <c r="A18" s="4">
        <f t="shared" si="12"/>
        <v>7</v>
      </c>
      <c r="B18" s="13"/>
      <c r="C18" s="13"/>
      <c r="D18" s="15">
        <f t="shared" si="0"/>
        <v>235</v>
      </c>
      <c r="E18" s="13"/>
      <c r="F18" s="4">
        <f t="shared" si="1"/>
        <v>0</v>
      </c>
      <c r="G18" s="4">
        <f t="shared" si="2"/>
        <v>0</v>
      </c>
      <c r="H18" s="4">
        <f t="shared" si="3"/>
        <v>0</v>
      </c>
      <c r="I18" s="4">
        <f t="shared" si="4"/>
        <v>3.1666666666666665</v>
      </c>
      <c r="J18" s="4">
        <f t="shared" si="5"/>
        <v>2</v>
      </c>
      <c r="K18" s="4">
        <v>1</v>
      </c>
      <c r="L18" s="14">
        <f t="shared" si="6"/>
        <v>0</v>
      </c>
      <c r="M18" s="13"/>
      <c r="N18" s="4">
        <f t="shared" si="7"/>
        <v>0</v>
      </c>
      <c r="O18" s="4">
        <f t="shared" si="8"/>
        <v>0</v>
      </c>
      <c r="P18" s="4">
        <f t="shared" si="9"/>
        <v>0</v>
      </c>
      <c r="Q18" s="14">
        <f t="shared" si="10"/>
        <v>0</v>
      </c>
      <c r="R18" s="22">
        <f t="shared" si="11"/>
        <v>0</v>
      </c>
    </row>
    <row r="19" spans="1:18" x14ac:dyDescent="0.15">
      <c r="A19" s="4">
        <f t="shared" si="12"/>
        <v>8</v>
      </c>
      <c r="B19" s="13"/>
      <c r="C19" s="13"/>
      <c r="D19" s="15">
        <f t="shared" si="0"/>
        <v>235</v>
      </c>
      <c r="E19" s="13"/>
      <c r="F19" s="4">
        <f t="shared" si="1"/>
        <v>0</v>
      </c>
      <c r="G19" s="4">
        <f t="shared" si="2"/>
        <v>0</v>
      </c>
      <c r="H19" s="4">
        <f t="shared" si="3"/>
        <v>0</v>
      </c>
      <c r="I19" s="4">
        <f t="shared" si="4"/>
        <v>3.1666666666666665</v>
      </c>
      <c r="J19" s="4">
        <f t="shared" si="5"/>
        <v>2</v>
      </c>
      <c r="K19" s="4">
        <v>1</v>
      </c>
      <c r="L19" s="14">
        <f t="shared" si="6"/>
        <v>0</v>
      </c>
      <c r="M19" s="13"/>
      <c r="N19" s="4">
        <f t="shared" si="7"/>
        <v>0</v>
      </c>
      <c r="O19" s="4">
        <f t="shared" si="8"/>
        <v>0</v>
      </c>
      <c r="P19" s="4">
        <f t="shared" si="9"/>
        <v>0</v>
      </c>
      <c r="Q19" s="14">
        <f t="shared" si="10"/>
        <v>0</v>
      </c>
      <c r="R19" s="22">
        <f t="shared" si="11"/>
        <v>0</v>
      </c>
    </row>
    <row r="20" spans="1:18" ht="14.25" thickBot="1" x14ac:dyDescent="0.2">
      <c r="A20" s="4">
        <f t="shared" si="12"/>
        <v>9</v>
      </c>
      <c r="B20" s="13"/>
      <c r="C20" s="13"/>
      <c r="D20" s="15">
        <f t="shared" si="0"/>
        <v>235</v>
      </c>
      <c r="E20" s="13"/>
      <c r="F20" s="4">
        <f t="shared" si="1"/>
        <v>0</v>
      </c>
      <c r="G20" s="4">
        <f t="shared" si="2"/>
        <v>0</v>
      </c>
      <c r="H20" s="4">
        <f t="shared" si="3"/>
        <v>0</v>
      </c>
      <c r="I20" s="4">
        <f t="shared" si="4"/>
        <v>3.1666666666666665</v>
      </c>
      <c r="J20" s="4">
        <f t="shared" si="5"/>
        <v>2</v>
      </c>
      <c r="K20" s="4">
        <v>1</v>
      </c>
      <c r="L20" s="14">
        <f t="shared" si="6"/>
        <v>0</v>
      </c>
      <c r="M20" s="13"/>
      <c r="N20" s="4">
        <f t="shared" si="7"/>
        <v>0</v>
      </c>
      <c r="O20" s="4">
        <f t="shared" si="8"/>
        <v>0</v>
      </c>
      <c r="P20" s="4">
        <f t="shared" si="9"/>
        <v>0</v>
      </c>
      <c r="Q20" s="14">
        <f t="shared" si="10"/>
        <v>0</v>
      </c>
      <c r="R20" s="23">
        <f t="shared" si="11"/>
        <v>0</v>
      </c>
    </row>
    <row r="21" spans="1:18" ht="14.25" thickBot="1" x14ac:dyDescent="0.2">
      <c r="R21" s="24">
        <f>SUM(R12:R20)</f>
        <v>0</v>
      </c>
    </row>
  </sheetData>
  <phoneticPr fontId="1"/>
  <dataValidations count="2">
    <dataValidation type="list" allowBlank="1" showInputMessage="1" showErrorMessage="1" sqref="C11:C20">
      <formula1>$C$1:$C$8</formula1>
    </dataValidation>
    <dataValidation type="list" allowBlank="1" showInputMessage="1" showErrorMessage="1" sqref="M11:M20">
      <formula1>$M$1:$M$3</formula1>
    </dataValidation>
  </dataValidations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opLeftCell="B1" zoomScale="75" workbookViewId="0">
      <pane ySplit="8" topLeftCell="A27" activePane="bottomLeft" state="frozen"/>
      <selection pane="bottomLeft" activeCell="AG53" sqref="AG53"/>
    </sheetView>
  </sheetViews>
  <sheetFormatPr defaultRowHeight="13.5" x14ac:dyDescent="0.15"/>
  <cols>
    <col min="1" max="1" width="9" style="1"/>
    <col min="2" max="2" width="14.125" style="1" customWidth="1"/>
    <col min="3" max="3" width="8.375" style="1" customWidth="1"/>
    <col min="4" max="4" width="14.125" style="1" customWidth="1"/>
    <col min="5" max="7" width="10.625" style="1" hidden="1" customWidth="1"/>
    <col min="8" max="10" width="12.375" style="1" hidden="1" customWidth="1"/>
    <col min="11" max="11" width="20.5" style="1" customWidth="1"/>
    <col min="12" max="13" width="12.625" style="1" customWidth="1"/>
    <col min="14" max="14" width="12.625" style="1" hidden="1" customWidth="1"/>
    <col min="15" max="19" width="10.625" style="1" hidden="1" customWidth="1"/>
    <col min="20" max="20" width="13.25" style="1" hidden="1" customWidth="1"/>
    <col min="21" max="21" width="15.25" style="1" customWidth="1"/>
    <col min="22" max="23" width="9" style="1"/>
    <col min="24" max="28" width="0" style="1" hidden="1" customWidth="1"/>
    <col min="29" max="29" width="9" style="1"/>
    <col min="30" max="30" width="13.625" style="1" customWidth="1"/>
    <col min="31" max="16384" width="9" style="1"/>
  </cols>
  <sheetData>
    <row r="1" spans="1:30" hidden="1" x14ac:dyDescent="0.15">
      <c r="D1" s="1" t="s">
        <v>2</v>
      </c>
      <c r="V1" s="1" t="s">
        <v>16</v>
      </c>
      <c r="W1" s="1" t="s">
        <v>16</v>
      </c>
    </row>
    <row r="2" spans="1:30" hidden="1" x14ac:dyDescent="0.15">
      <c r="D2" s="1" t="str">
        <f>"Floating Head"</f>
        <v>Floating Head</v>
      </c>
      <c r="V2" s="1" t="s">
        <v>18</v>
      </c>
      <c r="W2" s="1" t="s">
        <v>18</v>
      </c>
    </row>
    <row r="3" spans="1:30" hidden="1" x14ac:dyDescent="0.15">
      <c r="D3" s="1" t="s">
        <v>26</v>
      </c>
      <c r="V3" s="1" t="s">
        <v>216</v>
      </c>
      <c r="W3" s="1" t="s">
        <v>216</v>
      </c>
    </row>
    <row r="4" spans="1:30" hidden="1" x14ac:dyDescent="0.15"/>
    <row r="5" spans="1:30" hidden="1" x14ac:dyDescent="0.15"/>
    <row r="6" spans="1:30" hidden="1" x14ac:dyDescent="0.15"/>
    <row r="7" spans="1:30" x14ac:dyDescent="0.15">
      <c r="E7" s="37"/>
      <c r="F7" s="37"/>
      <c r="G7" s="37"/>
    </row>
    <row r="8" spans="1:30" s="2" customFormat="1" ht="108" x14ac:dyDescent="0.15">
      <c r="A8" s="6" t="s">
        <v>30</v>
      </c>
      <c r="B8" s="6" t="s">
        <v>19</v>
      </c>
      <c r="C8" s="6" t="s">
        <v>20</v>
      </c>
      <c r="D8" s="6" t="s">
        <v>31</v>
      </c>
      <c r="E8" s="6" t="s">
        <v>21</v>
      </c>
      <c r="F8" s="6" t="s">
        <v>22</v>
      </c>
      <c r="G8" s="6" t="s">
        <v>27</v>
      </c>
      <c r="H8" s="6" t="s">
        <v>24</v>
      </c>
      <c r="I8" s="6" t="s">
        <v>25</v>
      </c>
      <c r="J8" s="6" t="s">
        <v>28</v>
      </c>
      <c r="K8" s="6" t="s">
        <v>23</v>
      </c>
      <c r="L8" s="6" t="s">
        <v>80</v>
      </c>
      <c r="M8" s="6" t="s">
        <v>81</v>
      </c>
      <c r="N8" s="6" t="s">
        <v>82</v>
      </c>
      <c r="O8" s="6" t="s">
        <v>34</v>
      </c>
      <c r="P8" s="6" t="s">
        <v>35</v>
      </c>
      <c r="Q8" s="6" t="s">
        <v>36</v>
      </c>
      <c r="R8" s="6" t="s">
        <v>39</v>
      </c>
      <c r="S8" s="6" t="s">
        <v>37</v>
      </c>
      <c r="T8" s="6" t="s">
        <v>38</v>
      </c>
      <c r="U8" s="6" t="s">
        <v>40</v>
      </c>
      <c r="V8" s="6" t="s">
        <v>42</v>
      </c>
      <c r="W8" s="6" t="s">
        <v>43</v>
      </c>
      <c r="X8" s="6" t="s">
        <v>45</v>
      </c>
      <c r="Y8" s="6" t="s">
        <v>46</v>
      </c>
      <c r="Z8" s="6" t="s">
        <v>47</v>
      </c>
      <c r="AA8" s="6" t="s">
        <v>220</v>
      </c>
      <c r="AB8" s="6" t="s">
        <v>221</v>
      </c>
      <c r="AC8" s="6" t="s">
        <v>48</v>
      </c>
      <c r="AD8" s="6" t="s">
        <v>49</v>
      </c>
    </row>
    <row r="9" spans="1:30" x14ac:dyDescent="0.15">
      <c r="A9" s="5">
        <v>0</v>
      </c>
      <c r="B9" s="7" t="s">
        <v>213</v>
      </c>
      <c r="C9" s="7">
        <v>170</v>
      </c>
      <c r="D9" s="7" t="s">
        <v>29</v>
      </c>
      <c r="E9" s="5">
        <f>IF(D9="Fixed Tube Sheet or U-Tube",1,0)</f>
        <v>0</v>
      </c>
      <c r="F9" s="5">
        <f>IF(D9="Floating Head",1,0)</f>
        <v>1</v>
      </c>
      <c r="G9" s="5">
        <f>IF(D9="Kettle Reboiler",1,0)</f>
        <v>0</v>
      </c>
      <c r="H9" s="5">
        <f>10^(HE_Coeff!$B$2+HE_Coeff!$C$2*LOG(HeatExchanger!C9)+HE_Coeff!$D$2*(LOG(HeatExchanger!C9)^2))</f>
        <v>16195.585359611447</v>
      </c>
      <c r="I9" s="5">
        <f>10^(HE_Coeff!$B$3+HE_Coeff!$C$3*LOG(HeatExchanger!C9)+HE_Coeff!$D$3*(LOG(HeatExchanger!C9)^2))</f>
        <v>19628.713545073773</v>
      </c>
      <c r="J9" s="5">
        <f>10^(HE_Coeff!$B$4+HE_Coeff!$C$4*LOG(HeatExchanger!C9)+HE_Coeff!$D$4*(LOG(HeatExchanger!C9)^2))</f>
        <v>34645.3744101349</v>
      </c>
      <c r="K9" s="10">
        <f>H9*E9+I9*F9+J9*G9</f>
        <v>19628.713545073773</v>
      </c>
      <c r="L9" s="7">
        <v>6</v>
      </c>
      <c r="M9" s="7">
        <v>6</v>
      </c>
      <c r="N9" s="9">
        <f>MAX(L9,M9)</f>
        <v>6</v>
      </c>
      <c r="O9" s="5">
        <f>IF(L9&gt;=10,1,0)</f>
        <v>0</v>
      </c>
      <c r="P9" s="5">
        <f>IF(AND(L9&lt;10,M9&gt;=10),1,0)</f>
        <v>0</v>
      </c>
      <c r="Q9" s="5">
        <f>IF(AND(L9&lt;10,M9&lt;10),1,0)</f>
        <v>1</v>
      </c>
      <c r="R9" s="5">
        <f>10^(HE_Coeff!$E$2+HE_Coeff!$F$2*LOG(HeatExchanger!N9)+HE_Coeff!$G$2*(LOG(HeatExchanger!N9)^2))</f>
        <v>0.96169521642249522</v>
      </c>
      <c r="S9" s="5">
        <f>10^(HE_Coeff!$H$2+HE_Coeff!$I$2*LOG(HeatExchanger!N9))</f>
        <v>0.9790788752195938</v>
      </c>
      <c r="T9" s="5">
        <f>1</f>
        <v>1</v>
      </c>
      <c r="U9" s="8">
        <f>R9*O9+S9*P9+T9*Q9</f>
        <v>1</v>
      </c>
      <c r="V9" s="7" t="s">
        <v>44</v>
      </c>
      <c r="W9" s="7" t="s">
        <v>44</v>
      </c>
      <c r="X9" s="5">
        <f>IF(AND(V9="CS",W9="CS"),1,0)</f>
        <v>1</v>
      </c>
      <c r="Y9" s="5">
        <f>IF(AND(V9="CS",W9="SS"),1,0)</f>
        <v>0</v>
      </c>
      <c r="Z9" s="5">
        <f>IF(OR(AND(V9="SS",W9="CS"),AND(V9="SS",W9="SS")),1,0)</f>
        <v>0</v>
      </c>
      <c r="AA9" s="5">
        <f>IF(AND(V9="CS",W9="Ni_alloy"),1,0)</f>
        <v>0</v>
      </c>
      <c r="AB9" s="5">
        <f t="shared" ref="AB9:AB26" si="0">IF(AND(V9="Ni_alloy",W9="Ni_alloy"),1,0)</f>
        <v>0</v>
      </c>
      <c r="AC9" s="8">
        <f>X9*HE_FM!$B$3+HeatExchanger!Y9*HE_FM!$C$3+HeatExchanger!Z9*HE_FM!$D$3</f>
        <v>1</v>
      </c>
      <c r="AD9" s="10">
        <f>K9*(HE_Coeff!$K$2+HE_Coeff!$L$2*HeatExchanger!U9*HeatExchanger!AC9)</f>
        <v>64774.754698743447</v>
      </c>
    </row>
    <row r="10" spans="1:30" x14ac:dyDescent="0.15">
      <c r="A10" s="5">
        <f>A9+1</f>
        <v>1</v>
      </c>
      <c r="B10" s="7"/>
      <c r="C10" s="7">
        <v>1</v>
      </c>
      <c r="D10" s="7"/>
      <c r="E10" s="5">
        <f t="shared" ref="E10:E58" si="1">IF(D10="Fixed Tube Sheet or U-Tube",1,0)</f>
        <v>0</v>
      </c>
      <c r="F10" s="5">
        <f t="shared" ref="F10:F58" si="2">IF(D10="Floating Head",1,0)</f>
        <v>0</v>
      </c>
      <c r="G10" s="5">
        <f t="shared" ref="G10:G58" si="3">IF(D10="Kettle Reboiler",1,0)</f>
        <v>0</v>
      </c>
      <c r="H10" s="5">
        <f>10^(HE_Coeff!$B$2+HE_Coeff!$C$2*LOG(HeatExchanger!C10)+HE_Coeff!$D$2*(LOG(HeatExchanger!C10)^2))</f>
        <v>1636.0629131014164</v>
      </c>
      <c r="I10" s="5">
        <f>10^(HE_Coeff!$B$3+HE_Coeff!$C$3*LOG(HeatExchanger!C10)+HE_Coeff!$D$3*(LOG(HeatExchanger!C10)^2))</f>
        <v>2715.1885903272678</v>
      </c>
      <c r="J10" s="5">
        <f>10^(HE_Coeff!$B$4+HE_Coeff!$C$4*LOG(HeatExchanger!C10)+HE_Coeff!$D$4*(LOG(HeatExchanger!C10)^2))</f>
        <v>3662.6886275878383</v>
      </c>
      <c r="K10" s="10">
        <f t="shared" ref="K10:K58" si="4">H10*E10+I10*F10+J10*G10</f>
        <v>0</v>
      </c>
      <c r="L10" s="7">
        <v>1</v>
      </c>
      <c r="M10" s="7">
        <v>1</v>
      </c>
      <c r="N10" s="9">
        <f t="shared" ref="N10:N58" si="5">MAX(L10,M10)</f>
        <v>1</v>
      </c>
      <c r="O10" s="5">
        <f t="shared" ref="O10:O58" si="6">IF(L10&gt;=10,1,0)</f>
        <v>0</v>
      </c>
      <c r="P10" s="5">
        <f t="shared" ref="P10:P58" si="7">IF(AND(L10&lt;10,M10&gt;=10),1,0)</f>
        <v>0</v>
      </c>
      <c r="Q10" s="5">
        <f t="shared" ref="Q10:Q58" si="8">IF(AND(L10&lt;10,M10&lt;10),1,0)</f>
        <v>1</v>
      </c>
      <c r="R10" s="5">
        <f>10^(HE_Coeff!$E$2+HE_Coeff!$F$2*LOG(HeatExchanger!N10)+HE_Coeff!$G$2*(LOG(HeatExchanger!N10)^2))</f>
        <v>0.86101357752663688</v>
      </c>
      <c r="S10" s="5">
        <f>10^(HE_Coeff!$H$2+HE_Coeff!$I$2*LOG(HeatExchanger!N10))</f>
        <v>0.90909652984037714</v>
      </c>
      <c r="T10" s="5">
        <f>1</f>
        <v>1</v>
      </c>
      <c r="U10" s="8">
        <f t="shared" ref="U10:U58" si="9">R10*O10+S10*P10+T10*Q10</f>
        <v>1</v>
      </c>
      <c r="V10" s="7" t="s">
        <v>44</v>
      </c>
      <c r="W10" s="7" t="s">
        <v>44</v>
      </c>
      <c r="X10" s="5">
        <f t="shared" ref="X10:X58" si="10">IF(AND(V10="CS",W10="CS"),1,0)</f>
        <v>1</v>
      </c>
      <c r="Y10" s="5">
        <f t="shared" ref="Y10:Y58" si="11">IF(AND(V10="CS",W10="SS"),1,0)</f>
        <v>0</v>
      </c>
      <c r="Z10" s="5">
        <f t="shared" ref="Z10:Z58" si="12">IF(OR(AND(V10="SS",W10="CS"),AND(V10="SS",W10="SS")),1,0)</f>
        <v>0</v>
      </c>
      <c r="AA10" s="5">
        <f t="shared" ref="AA10:AA58" si="13">IF(AND(V10="CS",W10="Ni_alloy"),1,0)</f>
        <v>0</v>
      </c>
      <c r="AB10" s="5">
        <f t="shared" si="0"/>
        <v>0</v>
      </c>
      <c r="AC10" s="8">
        <f>X10*HE_FM!$B$3+HeatExchanger!Y10*HE_FM!$C$3+HeatExchanger!Z10*HE_FM!$D$3</f>
        <v>1</v>
      </c>
      <c r="AD10" s="10">
        <f>K10*(HE_Coeff!$K$2+HE_Coeff!$L$2*HeatExchanger!U10*HeatExchanger!AC10)</f>
        <v>0</v>
      </c>
    </row>
    <row r="11" spans="1:30" x14ac:dyDescent="0.15">
      <c r="A11" s="5">
        <f t="shared" ref="A11:A58" si="14">A10+1</f>
        <v>2</v>
      </c>
      <c r="B11" s="7"/>
      <c r="C11" s="7">
        <v>1</v>
      </c>
      <c r="D11" s="7"/>
      <c r="E11" s="5">
        <f t="shared" si="1"/>
        <v>0</v>
      </c>
      <c r="F11" s="5">
        <f t="shared" si="2"/>
        <v>0</v>
      </c>
      <c r="G11" s="5">
        <f t="shared" si="3"/>
        <v>0</v>
      </c>
      <c r="H11" s="5">
        <f>10^(HE_Coeff!$B$2+HE_Coeff!$C$2*LOG(HeatExchanger!C11)+HE_Coeff!$D$2*(LOG(HeatExchanger!C11)^2))</f>
        <v>1636.0629131014164</v>
      </c>
      <c r="I11" s="5">
        <f>10^(HE_Coeff!$B$3+HE_Coeff!$C$3*LOG(HeatExchanger!C11)+HE_Coeff!$D$3*(LOG(HeatExchanger!C11)^2))</f>
        <v>2715.1885903272678</v>
      </c>
      <c r="J11" s="5">
        <f>10^(HE_Coeff!$B$4+HE_Coeff!$C$4*LOG(HeatExchanger!C11)+HE_Coeff!$D$4*(LOG(HeatExchanger!C11)^2))</f>
        <v>3662.6886275878383</v>
      </c>
      <c r="K11" s="10">
        <f t="shared" si="4"/>
        <v>0</v>
      </c>
      <c r="L11" s="7">
        <v>1</v>
      </c>
      <c r="M11" s="7">
        <v>1</v>
      </c>
      <c r="N11" s="9">
        <f t="shared" si="5"/>
        <v>1</v>
      </c>
      <c r="O11" s="5">
        <f t="shared" si="6"/>
        <v>0</v>
      </c>
      <c r="P11" s="5">
        <f t="shared" si="7"/>
        <v>0</v>
      </c>
      <c r="Q11" s="5">
        <f t="shared" si="8"/>
        <v>1</v>
      </c>
      <c r="R11" s="5">
        <f>10^(HE_Coeff!$E$2+HE_Coeff!$F$2*LOG(HeatExchanger!N11)+HE_Coeff!$G$2*(LOG(HeatExchanger!N11)^2))</f>
        <v>0.86101357752663688</v>
      </c>
      <c r="S11" s="5">
        <f>10^(HE_Coeff!$H$2+HE_Coeff!$I$2*LOG(HeatExchanger!N11))</f>
        <v>0.90909652984037714</v>
      </c>
      <c r="T11" s="5">
        <f>1</f>
        <v>1</v>
      </c>
      <c r="U11" s="8">
        <f t="shared" si="9"/>
        <v>1</v>
      </c>
      <c r="V11" s="7" t="s">
        <v>44</v>
      </c>
      <c r="W11" s="7" t="s">
        <v>44</v>
      </c>
      <c r="X11" s="5">
        <f t="shared" si="10"/>
        <v>1</v>
      </c>
      <c r="Y11" s="5">
        <f t="shared" si="11"/>
        <v>0</v>
      </c>
      <c r="Z11" s="5">
        <f t="shared" si="12"/>
        <v>0</v>
      </c>
      <c r="AA11" s="5">
        <f t="shared" si="13"/>
        <v>0</v>
      </c>
      <c r="AB11" s="5">
        <f t="shared" si="0"/>
        <v>0</v>
      </c>
      <c r="AC11" s="8">
        <f>X11*HE_FM!$B$3+HeatExchanger!Y11*HE_FM!$C$3+HeatExchanger!Z11*HE_FM!$D$3</f>
        <v>1</v>
      </c>
      <c r="AD11" s="10">
        <f>K11*(HE_Coeff!$K$2+HE_Coeff!$L$2*HeatExchanger!U11*HeatExchanger!AC11)</f>
        <v>0</v>
      </c>
    </row>
    <row r="12" spans="1:30" x14ac:dyDescent="0.15">
      <c r="A12" s="5">
        <f t="shared" si="14"/>
        <v>3</v>
      </c>
      <c r="B12" s="7"/>
      <c r="C12" s="7">
        <v>1</v>
      </c>
      <c r="D12" s="7"/>
      <c r="E12" s="5">
        <f t="shared" si="1"/>
        <v>0</v>
      </c>
      <c r="F12" s="5">
        <f t="shared" si="2"/>
        <v>0</v>
      </c>
      <c r="G12" s="5">
        <f t="shared" si="3"/>
        <v>0</v>
      </c>
      <c r="H12" s="5">
        <f>10^(HE_Coeff!$B$2+HE_Coeff!$C$2*LOG(HeatExchanger!C12)+HE_Coeff!$D$2*(LOG(HeatExchanger!C12)^2))</f>
        <v>1636.0629131014164</v>
      </c>
      <c r="I12" s="5">
        <f>10^(HE_Coeff!$B$3+HE_Coeff!$C$3*LOG(HeatExchanger!C12)+HE_Coeff!$D$3*(LOG(HeatExchanger!C12)^2))</f>
        <v>2715.1885903272678</v>
      </c>
      <c r="J12" s="5">
        <f>10^(HE_Coeff!$B$4+HE_Coeff!$C$4*LOG(HeatExchanger!C12)+HE_Coeff!$D$4*(LOG(HeatExchanger!C12)^2))</f>
        <v>3662.6886275878383</v>
      </c>
      <c r="K12" s="10">
        <f t="shared" si="4"/>
        <v>0</v>
      </c>
      <c r="L12" s="7">
        <v>1</v>
      </c>
      <c r="M12" s="7">
        <v>1</v>
      </c>
      <c r="N12" s="9">
        <f t="shared" si="5"/>
        <v>1</v>
      </c>
      <c r="O12" s="5">
        <f t="shared" si="6"/>
        <v>0</v>
      </c>
      <c r="P12" s="5">
        <f t="shared" si="7"/>
        <v>0</v>
      </c>
      <c r="Q12" s="5">
        <f t="shared" si="8"/>
        <v>1</v>
      </c>
      <c r="R12" s="5">
        <f>10^(HE_Coeff!$E$2+HE_Coeff!$F$2*LOG(HeatExchanger!N12)+HE_Coeff!$G$2*(LOG(HeatExchanger!N12)^2))</f>
        <v>0.86101357752663688</v>
      </c>
      <c r="S12" s="5">
        <f>10^(HE_Coeff!$H$2+HE_Coeff!$I$2*LOG(HeatExchanger!N12))</f>
        <v>0.90909652984037714</v>
      </c>
      <c r="T12" s="5">
        <f>1</f>
        <v>1</v>
      </c>
      <c r="U12" s="8">
        <f t="shared" si="9"/>
        <v>1</v>
      </c>
      <c r="V12" s="7" t="s">
        <v>44</v>
      </c>
      <c r="W12" s="7" t="s">
        <v>44</v>
      </c>
      <c r="X12" s="5">
        <f t="shared" si="10"/>
        <v>1</v>
      </c>
      <c r="Y12" s="5">
        <f t="shared" si="11"/>
        <v>0</v>
      </c>
      <c r="Z12" s="5">
        <f t="shared" si="12"/>
        <v>0</v>
      </c>
      <c r="AA12" s="5">
        <f t="shared" si="13"/>
        <v>0</v>
      </c>
      <c r="AB12" s="5">
        <f t="shared" si="0"/>
        <v>0</v>
      </c>
      <c r="AC12" s="8">
        <f>X12*HE_FM!$B$3+HeatExchanger!Y12*HE_FM!$C$3+HeatExchanger!Z12*HE_FM!$D$3</f>
        <v>1</v>
      </c>
      <c r="AD12" s="10">
        <f>K12*(HE_Coeff!$K$2+HE_Coeff!$L$2*HeatExchanger!U12*HeatExchanger!AC12)</f>
        <v>0</v>
      </c>
    </row>
    <row r="13" spans="1:30" x14ac:dyDescent="0.15">
      <c r="A13" s="5">
        <f t="shared" si="14"/>
        <v>4</v>
      </c>
      <c r="B13" s="7"/>
      <c r="C13" s="7">
        <v>1</v>
      </c>
      <c r="D13" s="7"/>
      <c r="E13" s="5">
        <f t="shared" si="1"/>
        <v>0</v>
      </c>
      <c r="F13" s="5">
        <f t="shared" si="2"/>
        <v>0</v>
      </c>
      <c r="G13" s="5">
        <f t="shared" si="3"/>
        <v>0</v>
      </c>
      <c r="H13" s="5">
        <f>10^(HE_Coeff!$B$2+HE_Coeff!$C$2*LOG(HeatExchanger!C13)+HE_Coeff!$D$2*(LOG(HeatExchanger!C13)^2))</f>
        <v>1636.0629131014164</v>
      </c>
      <c r="I13" s="5">
        <f>10^(HE_Coeff!$B$3+HE_Coeff!$C$3*LOG(HeatExchanger!C13)+HE_Coeff!$D$3*(LOG(HeatExchanger!C13)^2))</f>
        <v>2715.1885903272678</v>
      </c>
      <c r="J13" s="5">
        <f>10^(HE_Coeff!$B$4+HE_Coeff!$C$4*LOG(HeatExchanger!C13)+HE_Coeff!$D$4*(LOG(HeatExchanger!C13)^2))</f>
        <v>3662.6886275878383</v>
      </c>
      <c r="K13" s="10">
        <f t="shared" si="4"/>
        <v>0</v>
      </c>
      <c r="L13" s="7">
        <v>1</v>
      </c>
      <c r="M13" s="7">
        <v>1</v>
      </c>
      <c r="N13" s="9">
        <f t="shared" si="5"/>
        <v>1</v>
      </c>
      <c r="O13" s="5">
        <f t="shared" si="6"/>
        <v>0</v>
      </c>
      <c r="P13" s="5">
        <f t="shared" si="7"/>
        <v>0</v>
      </c>
      <c r="Q13" s="5">
        <f t="shared" si="8"/>
        <v>1</v>
      </c>
      <c r="R13" s="5">
        <f>10^(HE_Coeff!$E$2+HE_Coeff!$F$2*LOG(HeatExchanger!N13)+HE_Coeff!$G$2*(LOG(HeatExchanger!N13)^2))</f>
        <v>0.86101357752663688</v>
      </c>
      <c r="S13" s="5">
        <f>10^(HE_Coeff!$H$2+HE_Coeff!$I$2*LOG(HeatExchanger!N13))</f>
        <v>0.90909652984037714</v>
      </c>
      <c r="T13" s="5">
        <f>1</f>
        <v>1</v>
      </c>
      <c r="U13" s="8">
        <f t="shared" si="9"/>
        <v>1</v>
      </c>
      <c r="V13" s="7" t="s">
        <v>44</v>
      </c>
      <c r="W13" s="7" t="s">
        <v>44</v>
      </c>
      <c r="X13" s="5">
        <f t="shared" si="10"/>
        <v>1</v>
      </c>
      <c r="Y13" s="5">
        <f t="shared" si="11"/>
        <v>0</v>
      </c>
      <c r="Z13" s="5">
        <f t="shared" si="12"/>
        <v>0</v>
      </c>
      <c r="AA13" s="5">
        <f t="shared" si="13"/>
        <v>0</v>
      </c>
      <c r="AB13" s="5">
        <f t="shared" si="0"/>
        <v>0</v>
      </c>
      <c r="AC13" s="8">
        <f>X13*HE_FM!$B$3+HeatExchanger!Y13*HE_FM!$C$3+HeatExchanger!Z13*HE_FM!$D$3</f>
        <v>1</v>
      </c>
      <c r="AD13" s="10">
        <f>K13*(HE_Coeff!$K$2+HE_Coeff!$L$2*HeatExchanger!U13*HeatExchanger!AC13)</f>
        <v>0</v>
      </c>
    </row>
    <row r="14" spans="1:30" x14ac:dyDescent="0.15">
      <c r="A14" s="5">
        <f t="shared" si="14"/>
        <v>5</v>
      </c>
      <c r="B14" s="7"/>
      <c r="C14" s="7">
        <v>1</v>
      </c>
      <c r="D14" s="7"/>
      <c r="E14" s="5">
        <f t="shared" si="1"/>
        <v>0</v>
      </c>
      <c r="F14" s="5">
        <f t="shared" si="2"/>
        <v>0</v>
      </c>
      <c r="G14" s="5">
        <f t="shared" si="3"/>
        <v>0</v>
      </c>
      <c r="H14" s="5">
        <f>10^(HE_Coeff!$B$2+HE_Coeff!$C$2*LOG(HeatExchanger!C14)+HE_Coeff!$D$2*(LOG(HeatExchanger!C14)^2))</f>
        <v>1636.0629131014164</v>
      </c>
      <c r="I14" s="5">
        <f>10^(HE_Coeff!$B$3+HE_Coeff!$C$3*LOG(HeatExchanger!C14)+HE_Coeff!$D$3*(LOG(HeatExchanger!C14)^2))</f>
        <v>2715.1885903272678</v>
      </c>
      <c r="J14" s="5">
        <f>10^(HE_Coeff!$B$4+HE_Coeff!$C$4*LOG(HeatExchanger!C14)+HE_Coeff!$D$4*(LOG(HeatExchanger!C14)^2))</f>
        <v>3662.6886275878383</v>
      </c>
      <c r="K14" s="10">
        <f t="shared" si="4"/>
        <v>0</v>
      </c>
      <c r="L14" s="7">
        <v>1</v>
      </c>
      <c r="M14" s="7">
        <v>1</v>
      </c>
      <c r="N14" s="9">
        <f t="shared" si="5"/>
        <v>1</v>
      </c>
      <c r="O14" s="5">
        <f t="shared" si="6"/>
        <v>0</v>
      </c>
      <c r="P14" s="5">
        <f t="shared" si="7"/>
        <v>0</v>
      </c>
      <c r="Q14" s="5">
        <f t="shared" si="8"/>
        <v>1</v>
      </c>
      <c r="R14" s="5">
        <f>10^(HE_Coeff!$E$2+HE_Coeff!$F$2*LOG(HeatExchanger!N14)+HE_Coeff!$G$2*(LOG(HeatExchanger!N14)^2))</f>
        <v>0.86101357752663688</v>
      </c>
      <c r="S14" s="5">
        <f>10^(HE_Coeff!$H$2+HE_Coeff!$I$2*LOG(HeatExchanger!N14))</f>
        <v>0.90909652984037714</v>
      </c>
      <c r="T14" s="5">
        <f>1</f>
        <v>1</v>
      </c>
      <c r="U14" s="8">
        <f t="shared" si="9"/>
        <v>1</v>
      </c>
      <c r="V14" s="7" t="s">
        <v>44</v>
      </c>
      <c r="W14" s="7" t="s">
        <v>44</v>
      </c>
      <c r="X14" s="5">
        <f t="shared" si="10"/>
        <v>1</v>
      </c>
      <c r="Y14" s="5">
        <f t="shared" si="11"/>
        <v>0</v>
      </c>
      <c r="Z14" s="5">
        <f t="shared" si="12"/>
        <v>0</v>
      </c>
      <c r="AA14" s="5">
        <f t="shared" si="13"/>
        <v>0</v>
      </c>
      <c r="AB14" s="5">
        <f t="shared" si="0"/>
        <v>0</v>
      </c>
      <c r="AC14" s="8">
        <f>X14*HE_FM!$B$3+HeatExchanger!Y14*HE_FM!$C$3+HeatExchanger!Z14*HE_FM!$D$3</f>
        <v>1</v>
      </c>
      <c r="AD14" s="10">
        <f>K14*(HE_Coeff!$K$2+HE_Coeff!$L$2*HeatExchanger!U14*HeatExchanger!AC14)</f>
        <v>0</v>
      </c>
    </row>
    <row r="15" spans="1:30" x14ac:dyDescent="0.15">
      <c r="A15" s="5">
        <f t="shared" si="14"/>
        <v>6</v>
      </c>
      <c r="B15" s="7"/>
      <c r="C15" s="7">
        <v>1</v>
      </c>
      <c r="D15" s="7"/>
      <c r="E15" s="5">
        <f t="shared" si="1"/>
        <v>0</v>
      </c>
      <c r="F15" s="5">
        <f t="shared" si="2"/>
        <v>0</v>
      </c>
      <c r="G15" s="5">
        <f t="shared" si="3"/>
        <v>0</v>
      </c>
      <c r="H15" s="5">
        <f>10^(HE_Coeff!$B$2+HE_Coeff!$C$2*LOG(HeatExchanger!C15)+HE_Coeff!$D$2*(LOG(HeatExchanger!C15)^2))</f>
        <v>1636.0629131014164</v>
      </c>
      <c r="I15" s="5">
        <f>10^(HE_Coeff!$B$3+HE_Coeff!$C$3*LOG(HeatExchanger!C15)+HE_Coeff!$D$3*(LOG(HeatExchanger!C15)^2))</f>
        <v>2715.1885903272678</v>
      </c>
      <c r="J15" s="5">
        <f>10^(HE_Coeff!$B$4+HE_Coeff!$C$4*LOG(HeatExchanger!C15)+HE_Coeff!$D$4*(LOG(HeatExchanger!C15)^2))</f>
        <v>3662.6886275878383</v>
      </c>
      <c r="K15" s="10">
        <f t="shared" si="4"/>
        <v>0</v>
      </c>
      <c r="L15" s="7">
        <v>1</v>
      </c>
      <c r="M15" s="7">
        <v>1</v>
      </c>
      <c r="N15" s="9">
        <f t="shared" si="5"/>
        <v>1</v>
      </c>
      <c r="O15" s="5">
        <f t="shared" si="6"/>
        <v>0</v>
      </c>
      <c r="P15" s="5">
        <f t="shared" si="7"/>
        <v>0</v>
      </c>
      <c r="Q15" s="5">
        <f t="shared" si="8"/>
        <v>1</v>
      </c>
      <c r="R15" s="5">
        <f>10^(HE_Coeff!$E$2+HE_Coeff!$F$2*LOG(HeatExchanger!N15)+HE_Coeff!$G$2*(LOG(HeatExchanger!N15)^2))</f>
        <v>0.86101357752663688</v>
      </c>
      <c r="S15" s="5">
        <f>10^(HE_Coeff!$H$2+HE_Coeff!$I$2*LOG(HeatExchanger!N15))</f>
        <v>0.90909652984037714</v>
      </c>
      <c r="T15" s="5">
        <f>1</f>
        <v>1</v>
      </c>
      <c r="U15" s="8">
        <f t="shared" si="9"/>
        <v>1</v>
      </c>
      <c r="V15" s="7" t="s">
        <v>44</v>
      </c>
      <c r="W15" s="7" t="s">
        <v>44</v>
      </c>
      <c r="X15" s="5">
        <f t="shared" si="10"/>
        <v>1</v>
      </c>
      <c r="Y15" s="5">
        <f t="shared" si="11"/>
        <v>0</v>
      </c>
      <c r="Z15" s="5">
        <f t="shared" si="12"/>
        <v>0</v>
      </c>
      <c r="AA15" s="5">
        <f t="shared" si="13"/>
        <v>0</v>
      </c>
      <c r="AB15" s="5">
        <f t="shared" si="0"/>
        <v>0</v>
      </c>
      <c r="AC15" s="8">
        <f>X15*HE_FM!$B$3+HeatExchanger!Y15*HE_FM!$C$3+HeatExchanger!Z15*HE_FM!$D$3</f>
        <v>1</v>
      </c>
      <c r="AD15" s="10">
        <f>K15*(HE_Coeff!$K$2+HE_Coeff!$L$2*HeatExchanger!U15*HeatExchanger!AC15)</f>
        <v>0</v>
      </c>
    </row>
    <row r="16" spans="1:30" x14ac:dyDescent="0.15">
      <c r="A16" s="5">
        <f t="shared" si="14"/>
        <v>7</v>
      </c>
      <c r="B16" s="7"/>
      <c r="C16" s="7">
        <v>1</v>
      </c>
      <c r="D16" s="7"/>
      <c r="E16" s="5">
        <f t="shared" si="1"/>
        <v>0</v>
      </c>
      <c r="F16" s="5">
        <f t="shared" si="2"/>
        <v>0</v>
      </c>
      <c r="G16" s="5">
        <f t="shared" si="3"/>
        <v>0</v>
      </c>
      <c r="H16" s="5">
        <f>10^(HE_Coeff!$B$2+HE_Coeff!$C$2*LOG(HeatExchanger!C16)+HE_Coeff!$D$2*(LOG(HeatExchanger!C16)^2))</f>
        <v>1636.0629131014164</v>
      </c>
      <c r="I16" s="5">
        <f>10^(HE_Coeff!$B$3+HE_Coeff!$C$3*LOG(HeatExchanger!C16)+HE_Coeff!$D$3*(LOG(HeatExchanger!C16)^2))</f>
        <v>2715.1885903272678</v>
      </c>
      <c r="J16" s="5">
        <f>10^(HE_Coeff!$B$4+HE_Coeff!$C$4*LOG(HeatExchanger!C16)+HE_Coeff!$D$4*(LOG(HeatExchanger!C16)^2))</f>
        <v>3662.6886275878383</v>
      </c>
      <c r="K16" s="10">
        <f t="shared" si="4"/>
        <v>0</v>
      </c>
      <c r="L16" s="7">
        <v>1</v>
      </c>
      <c r="M16" s="7">
        <v>1</v>
      </c>
      <c r="N16" s="9">
        <f t="shared" si="5"/>
        <v>1</v>
      </c>
      <c r="O16" s="5">
        <f t="shared" si="6"/>
        <v>0</v>
      </c>
      <c r="P16" s="5">
        <f t="shared" si="7"/>
        <v>0</v>
      </c>
      <c r="Q16" s="5">
        <f t="shared" si="8"/>
        <v>1</v>
      </c>
      <c r="R16" s="5">
        <f>10^(HE_Coeff!$E$2+HE_Coeff!$F$2*LOG(HeatExchanger!N16)+HE_Coeff!$G$2*(LOG(HeatExchanger!N16)^2))</f>
        <v>0.86101357752663688</v>
      </c>
      <c r="S16" s="5">
        <f>10^(HE_Coeff!$H$2+HE_Coeff!$I$2*LOG(HeatExchanger!N16))</f>
        <v>0.90909652984037714</v>
      </c>
      <c r="T16" s="5">
        <f>1</f>
        <v>1</v>
      </c>
      <c r="U16" s="8">
        <f t="shared" si="9"/>
        <v>1</v>
      </c>
      <c r="V16" s="7" t="s">
        <v>44</v>
      </c>
      <c r="W16" s="7" t="s">
        <v>44</v>
      </c>
      <c r="X16" s="5">
        <f t="shared" si="10"/>
        <v>1</v>
      </c>
      <c r="Y16" s="5">
        <f t="shared" si="11"/>
        <v>0</v>
      </c>
      <c r="Z16" s="5">
        <f t="shared" si="12"/>
        <v>0</v>
      </c>
      <c r="AA16" s="5">
        <f t="shared" si="13"/>
        <v>0</v>
      </c>
      <c r="AB16" s="5">
        <f t="shared" si="0"/>
        <v>0</v>
      </c>
      <c r="AC16" s="8">
        <f>X16*HE_FM!$B$3+HeatExchanger!Y16*HE_FM!$C$3+HeatExchanger!Z16*HE_FM!$D$3</f>
        <v>1</v>
      </c>
      <c r="AD16" s="10">
        <f>K16*(HE_Coeff!$K$2+HE_Coeff!$L$2*HeatExchanger!U16*HeatExchanger!AC16)</f>
        <v>0</v>
      </c>
    </row>
    <row r="17" spans="1:30" x14ac:dyDescent="0.15">
      <c r="A17" s="5">
        <f t="shared" si="14"/>
        <v>8</v>
      </c>
      <c r="B17" s="7"/>
      <c r="C17" s="7">
        <v>1</v>
      </c>
      <c r="D17" s="7"/>
      <c r="E17" s="5">
        <f t="shared" si="1"/>
        <v>0</v>
      </c>
      <c r="F17" s="5">
        <f t="shared" si="2"/>
        <v>0</v>
      </c>
      <c r="G17" s="5">
        <f t="shared" si="3"/>
        <v>0</v>
      </c>
      <c r="H17" s="5">
        <f>10^(HE_Coeff!$B$2+HE_Coeff!$C$2*LOG(HeatExchanger!C17)+HE_Coeff!$D$2*(LOG(HeatExchanger!C17)^2))</f>
        <v>1636.0629131014164</v>
      </c>
      <c r="I17" s="5">
        <f>10^(HE_Coeff!$B$3+HE_Coeff!$C$3*LOG(HeatExchanger!C17)+HE_Coeff!$D$3*(LOG(HeatExchanger!C17)^2))</f>
        <v>2715.1885903272678</v>
      </c>
      <c r="J17" s="5">
        <f>10^(HE_Coeff!$B$4+HE_Coeff!$C$4*LOG(HeatExchanger!C17)+HE_Coeff!$D$4*(LOG(HeatExchanger!C17)^2))</f>
        <v>3662.6886275878383</v>
      </c>
      <c r="K17" s="10">
        <f t="shared" si="4"/>
        <v>0</v>
      </c>
      <c r="L17" s="7">
        <v>1</v>
      </c>
      <c r="M17" s="7">
        <v>1</v>
      </c>
      <c r="N17" s="9">
        <f t="shared" si="5"/>
        <v>1</v>
      </c>
      <c r="O17" s="5">
        <f t="shared" si="6"/>
        <v>0</v>
      </c>
      <c r="P17" s="5">
        <f t="shared" si="7"/>
        <v>0</v>
      </c>
      <c r="Q17" s="5">
        <f t="shared" si="8"/>
        <v>1</v>
      </c>
      <c r="R17" s="5">
        <f>10^(HE_Coeff!$E$2+HE_Coeff!$F$2*LOG(HeatExchanger!N17)+HE_Coeff!$G$2*(LOG(HeatExchanger!N17)^2))</f>
        <v>0.86101357752663688</v>
      </c>
      <c r="S17" s="5">
        <f>10^(HE_Coeff!$H$2+HE_Coeff!$I$2*LOG(HeatExchanger!N17))</f>
        <v>0.90909652984037714</v>
      </c>
      <c r="T17" s="5">
        <f>1</f>
        <v>1</v>
      </c>
      <c r="U17" s="8">
        <f t="shared" si="9"/>
        <v>1</v>
      </c>
      <c r="V17" s="7" t="s">
        <v>44</v>
      </c>
      <c r="W17" s="7" t="s">
        <v>44</v>
      </c>
      <c r="X17" s="5">
        <f t="shared" si="10"/>
        <v>1</v>
      </c>
      <c r="Y17" s="5">
        <f t="shared" si="11"/>
        <v>0</v>
      </c>
      <c r="Z17" s="5">
        <f t="shared" si="12"/>
        <v>0</v>
      </c>
      <c r="AA17" s="5">
        <f t="shared" si="13"/>
        <v>0</v>
      </c>
      <c r="AB17" s="5">
        <f t="shared" si="0"/>
        <v>0</v>
      </c>
      <c r="AC17" s="8">
        <f>X17*HE_FM!$B$3+HeatExchanger!Y17*HE_FM!$C$3+HeatExchanger!Z17*HE_FM!$D$3</f>
        <v>1</v>
      </c>
      <c r="AD17" s="10">
        <f>K17*(HE_Coeff!$K$2+HE_Coeff!$L$2*HeatExchanger!U17*HeatExchanger!AC17)</f>
        <v>0</v>
      </c>
    </row>
    <row r="18" spans="1:30" x14ac:dyDescent="0.15">
      <c r="A18" s="5">
        <f t="shared" si="14"/>
        <v>9</v>
      </c>
      <c r="B18" s="7"/>
      <c r="C18" s="7">
        <v>1</v>
      </c>
      <c r="D18" s="7"/>
      <c r="E18" s="5">
        <f t="shared" si="1"/>
        <v>0</v>
      </c>
      <c r="F18" s="5">
        <f t="shared" si="2"/>
        <v>0</v>
      </c>
      <c r="G18" s="5">
        <f t="shared" si="3"/>
        <v>0</v>
      </c>
      <c r="H18" s="5">
        <f>10^(HE_Coeff!$B$2+HE_Coeff!$C$2*LOG(HeatExchanger!C18)+HE_Coeff!$D$2*(LOG(HeatExchanger!C18)^2))</f>
        <v>1636.0629131014164</v>
      </c>
      <c r="I18" s="5">
        <f>10^(HE_Coeff!$B$3+HE_Coeff!$C$3*LOG(HeatExchanger!C18)+HE_Coeff!$D$3*(LOG(HeatExchanger!C18)^2))</f>
        <v>2715.1885903272678</v>
      </c>
      <c r="J18" s="5">
        <f>10^(HE_Coeff!$B$4+HE_Coeff!$C$4*LOG(HeatExchanger!C18)+HE_Coeff!$D$4*(LOG(HeatExchanger!C18)^2))</f>
        <v>3662.6886275878383</v>
      </c>
      <c r="K18" s="10">
        <f t="shared" si="4"/>
        <v>0</v>
      </c>
      <c r="L18" s="7">
        <v>1</v>
      </c>
      <c r="M18" s="7">
        <v>1</v>
      </c>
      <c r="N18" s="9">
        <f t="shared" si="5"/>
        <v>1</v>
      </c>
      <c r="O18" s="5">
        <f t="shared" si="6"/>
        <v>0</v>
      </c>
      <c r="P18" s="5">
        <f t="shared" si="7"/>
        <v>0</v>
      </c>
      <c r="Q18" s="5">
        <f t="shared" si="8"/>
        <v>1</v>
      </c>
      <c r="R18" s="5">
        <f>10^(HE_Coeff!$E$2+HE_Coeff!$F$2*LOG(HeatExchanger!N18)+HE_Coeff!$G$2*(LOG(HeatExchanger!N18)^2))</f>
        <v>0.86101357752663688</v>
      </c>
      <c r="S18" s="5">
        <f>10^(HE_Coeff!$H$2+HE_Coeff!$I$2*LOG(HeatExchanger!N18))</f>
        <v>0.90909652984037714</v>
      </c>
      <c r="T18" s="5">
        <f>1</f>
        <v>1</v>
      </c>
      <c r="U18" s="8">
        <f t="shared" si="9"/>
        <v>1</v>
      </c>
      <c r="V18" s="7" t="s">
        <v>44</v>
      </c>
      <c r="W18" s="7" t="s">
        <v>44</v>
      </c>
      <c r="X18" s="5">
        <f t="shared" si="10"/>
        <v>1</v>
      </c>
      <c r="Y18" s="5">
        <f t="shared" si="11"/>
        <v>0</v>
      </c>
      <c r="Z18" s="5">
        <f t="shared" si="12"/>
        <v>0</v>
      </c>
      <c r="AA18" s="5">
        <f t="shared" si="13"/>
        <v>0</v>
      </c>
      <c r="AB18" s="5">
        <f t="shared" si="0"/>
        <v>0</v>
      </c>
      <c r="AC18" s="8">
        <f>X18*HE_FM!$B$3+HeatExchanger!Y18*HE_FM!$C$3+HeatExchanger!Z18*HE_FM!$D$3</f>
        <v>1</v>
      </c>
      <c r="AD18" s="10">
        <f>K18*(HE_Coeff!$K$2+HE_Coeff!$L$2*HeatExchanger!U18*HeatExchanger!AC18)</f>
        <v>0</v>
      </c>
    </row>
    <row r="19" spans="1:30" x14ac:dyDescent="0.15">
      <c r="A19" s="5">
        <f t="shared" si="14"/>
        <v>10</v>
      </c>
      <c r="B19" s="7"/>
      <c r="C19" s="7">
        <v>1</v>
      </c>
      <c r="D19" s="7"/>
      <c r="E19" s="5">
        <f t="shared" si="1"/>
        <v>0</v>
      </c>
      <c r="F19" s="5">
        <f t="shared" si="2"/>
        <v>0</v>
      </c>
      <c r="G19" s="5">
        <f t="shared" si="3"/>
        <v>0</v>
      </c>
      <c r="H19" s="5">
        <f>10^(HE_Coeff!$B$2+HE_Coeff!$C$2*LOG(HeatExchanger!C19)+HE_Coeff!$D$2*(LOG(HeatExchanger!C19)^2))</f>
        <v>1636.0629131014164</v>
      </c>
      <c r="I19" s="5">
        <f>10^(HE_Coeff!$B$3+HE_Coeff!$C$3*LOG(HeatExchanger!C19)+HE_Coeff!$D$3*(LOG(HeatExchanger!C19)^2))</f>
        <v>2715.1885903272678</v>
      </c>
      <c r="J19" s="5">
        <f>10^(HE_Coeff!$B$4+HE_Coeff!$C$4*LOG(HeatExchanger!C19)+HE_Coeff!$D$4*(LOG(HeatExchanger!C19)^2))</f>
        <v>3662.6886275878383</v>
      </c>
      <c r="K19" s="10">
        <f t="shared" si="4"/>
        <v>0</v>
      </c>
      <c r="L19" s="7">
        <v>1</v>
      </c>
      <c r="M19" s="7">
        <v>1</v>
      </c>
      <c r="N19" s="9">
        <f t="shared" si="5"/>
        <v>1</v>
      </c>
      <c r="O19" s="5">
        <f t="shared" si="6"/>
        <v>0</v>
      </c>
      <c r="P19" s="5">
        <f t="shared" si="7"/>
        <v>0</v>
      </c>
      <c r="Q19" s="5">
        <f t="shared" si="8"/>
        <v>1</v>
      </c>
      <c r="R19" s="5">
        <f>10^(HE_Coeff!$E$2+HE_Coeff!$F$2*LOG(HeatExchanger!N19)+HE_Coeff!$G$2*(LOG(HeatExchanger!N19)^2))</f>
        <v>0.86101357752663688</v>
      </c>
      <c r="S19" s="5">
        <f>10^(HE_Coeff!$H$2+HE_Coeff!$I$2*LOG(HeatExchanger!N19))</f>
        <v>0.90909652984037714</v>
      </c>
      <c r="T19" s="5">
        <f>1</f>
        <v>1</v>
      </c>
      <c r="U19" s="8">
        <f t="shared" si="9"/>
        <v>1</v>
      </c>
      <c r="V19" s="7" t="s">
        <v>44</v>
      </c>
      <c r="W19" s="7" t="s">
        <v>44</v>
      </c>
      <c r="X19" s="5">
        <f t="shared" si="10"/>
        <v>1</v>
      </c>
      <c r="Y19" s="5">
        <f t="shared" si="11"/>
        <v>0</v>
      </c>
      <c r="Z19" s="5">
        <f t="shared" si="12"/>
        <v>0</v>
      </c>
      <c r="AA19" s="5">
        <f t="shared" si="13"/>
        <v>0</v>
      </c>
      <c r="AB19" s="5">
        <f t="shared" si="0"/>
        <v>0</v>
      </c>
      <c r="AC19" s="8">
        <f>X19*HE_FM!$B$3+HeatExchanger!Y19*HE_FM!$C$3+HeatExchanger!Z19*HE_FM!$D$3</f>
        <v>1</v>
      </c>
      <c r="AD19" s="10">
        <f>K19*(HE_Coeff!$K$2+HE_Coeff!$L$2*HeatExchanger!U19*HeatExchanger!AC19)</f>
        <v>0</v>
      </c>
    </row>
    <row r="20" spans="1:30" x14ac:dyDescent="0.15">
      <c r="A20" s="5">
        <f t="shared" si="14"/>
        <v>11</v>
      </c>
      <c r="B20" s="7"/>
      <c r="C20" s="7">
        <v>1</v>
      </c>
      <c r="D20" s="7"/>
      <c r="E20" s="5">
        <f t="shared" si="1"/>
        <v>0</v>
      </c>
      <c r="F20" s="5">
        <f t="shared" si="2"/>
        <v>0</v>
      </c>
      <c r="G20" s="5">
        <f t="shared" si="3"/>
        <v>0</v>
      </c>
      <c r="H20" s="5">
        <f>10^(HE_Coeff!$B$2+HE_Coeff!$C$2*LOG(HeatExchanger!C20)+HE_Coeff!$D$2*(LOG(HeatExchanger!C20)^2))</f>
        <v>1636.0629131014164</v>
      </c>
      <c r="I20" s="5">
        <f>10^(HE_Coeff!$B$3+HE_Coeff!$C$3*LOG(HeatExchanger!C20)+HE_Coeff!$D$3*(LOG(HeatExchanger!C20)^2))</f>
        <v>2715.1885903272678</v>
      </c>
      <c r="J20" s="5">
        <f>10^(HE_Coeff!$B$4+HE_Coeff!$C$4*LOG(HeatExchanger!C20)+HE_Coeff!$D$4*(LOG(HeatExchanger!C20)^2))</f>
        <v>3662.6886275878383</v>
      </c>
      <c r="K20" s="10">
        <f t="shared" si="4"/>
        <v>0</v>
      </c>
      <c r="L20" s="7">
        <v>1</v>
      </c>
      <c r="M20" s="7">
        <v>1</v>
      </c>
      <c r="N20" s="9">
        <f t="shared" si="5"/>
        <v>1</v>
      </c>
      <c r="O20" s="5">
        <f t="shared" si="6"/>
        <v>0</v>
      </c>
      <c r="P20" s="5">
        <f t="shared" si="7"/>
        <v>0</v>
      </c>
      <c r="Q20" s="5">
        <f t="shared" si="8"/>
        <v>1</v>
      </c>
      <c r="R20" s="5">
        <f>10^(HE_Coeff!$E$2+HE_Coeff!$F$2*LOG(HeatExchanger!N20)+HE_Coeff!$G$2*(LOG(HeatExchanger!N20)^2))</f>
        <v>0.86101357752663688</v>
      </c>
      <c r="S20" s="5">
        <f>10^(HE_Coeff!$H$2+HE_Coeff!$I$2*LOG(HeatExchanger!N20))</f>
        <v>0.90909652984037714</v>
      </c>
      <c r="T20" s="5">
        <f>1</f>
        <v>1</v>
      </c>
      <c r="U20" s="8">
        <f t="shared" si="9"/>
        <v>1</v>
      </c>
      <c r="V20" s="7" t="s">
        <v>44</v>
      </c>
      <c r="W20" s="7" t="s">
        <v>44</v>
      </c>
      <c r="X20" s="5">
        <f t="shared" si="10"/>
        <v>1</v>
      </c>
      <c r="Y20" s="5">
        <f t="shared" si="11"/>
        <v>0</v>
      </c>
      <c r="Z20" s="5">
        <f t="shared" si="12"/>
        <v>0</v>
      </c>
      <c r="AA20" s="5">
        <f t="shared" si="13"/>
        <v>0</v>
      </c>
      <c r="AB20" s="5">
        <f t="shared" si="0"/>
        <v>0</v>
      </c>
      <c r="AC20" s="8">
        <f>X20*HE_FM!$B$3+HeatExchanger!Y20*HE_FM!$C$3+HeatExchanger!Z20*HE_FM!$D$3</f>
        <v>1</v>
      </c>
      <c r="AD20" s="10">
        <f>K20*(HE_Coeff!$K$2+HE_Coeff!$L$2*HeatExchanger!U20*HeatExchanger!AC20)</f>
        <v>0</v>
      </c>
    </row>
    <row r="21" spans="1:30" x14ac:dyDescent="0.15">
      <c r="A21" s="5">
        <f t="shared" si="14"/>
        <v>12</v>
      </c>
      <c r="B21" s="7"/>
      <c r="C21" s="7">
        <v>1</v>
      </c>
      <c r="D21" s="7"/>
      <c r="E21" s="5">
        <f t="shared" si="1"/>
        <v>0</v>
      </c>
      <c r="F21" s="5">
        <f t="shared" si="2"/>
        <v>0</v>
      </c>
      <c r="G21" s="5">
        <f t="shared" si="3"/>
        <v>0</v>
      </c>
      <c r="H21" s="5">
        <f>10^(HE_Coeff!$B$2+HE_Coeff!$C$2*LOG(HeatExchanger!C21)+HE_Coeff!$D$2*(LOG(HeatExchanger!C21)^2))</f>
        <v>1636.0629131014164</v>
      </c>
      <c r="I21" s="5">
        <f>10^(HE_Coeff!$B$3+HE_Coeff!$C$3*LOG(HeatExchanger!C21)+HE_Coeff!$D$3*(LOG(HeatExchanger!C21)^2))</f>
        <v>2715.1885903272678</v>
      </c>
      <c r="J21" s="5">
        <f>10^(HE_Coeff!$B$4+HE_Coeff!$C$4*LOG(HeatExchanger!C21)+HE_Coeff!$D$4*(LOG(HeatExchanger!C21)^2))</f>
        <v>3662.6886275878383</v>
      </c>
      <c r="K21" s="10">
        <f t="shared" si="4"/>
        <v>0</v>
      </c>
      <c r="L21" s="7">
        <v>1</v>
      </c>
      <c r="M21" s="7">
        <v>1</v>
      </c>
      <c r="N21" s="9">
        <f t="shared" si="5"/>
        <v>1</v>
      </c>
      <c r="O21" s="5">
        <f t="shared" si="6"/>
        <v>0</v>
      </c>
      <c r="P21" s="5">
        <f t="shared" si="7"/>
        <v>0</v>
      </c>
      <c r="Q21" s="5">
        <f t="shared" si="8"/>
        <v>1</v>
      </c>
      <c r="R21" s="5">
        <f>10^(HE_Coeff!$E$2+HE_Coeff!$F$2*LOG(HeatExchanger!N21)+HE_Coeff!$G$2*(LOG(HeatExchanger!N21)^2))</f>
        <v>0.86101357752663688</v>
      </c>
      <c r="S21" s="5">
        <f>10^(HE_Coeff!$H$2+HE_Coeff!$I$2*LOG(HeatExchanger!N21))</f>
        <v>0.90909652984037714</v>
      </c>
      <c r="T21" s="5">
        <f>1</f>
        <v>1</v>
      </c>
      <c r="U21" s="8">
        <f t="shared" si="9"/>
        <v>1</v>
      </c>
      <c r="V21" s="7" t="s">
        <v>44</v>
      </c>
      <c r="W21" s="7" t="s">
        <v>44</v>
      </c>
      <c r="X21" s="5">
        <f t="shared" si="10"/>
        <v>1</v>
      </c>
      <c r="Y21" s="5">
        <f t="shared" si="11"/>
        <v>0</v>
      </c>
      <c r="Z21" s="5">
        <f t="shared" si="12"/>
        <v>0</v>
      </c>
      <c r="AA21" s="5">
        <f t="shared" si="13"/>
        <v>0</v>
      </c>
      <c r="AB21" s="5">
        <f t="shared" si="0"/>
        <v>0</v>
      </c>
      <c r="AC21" s="8">
        <f>X21*HE_FM!$B$3+HeatExchanger!Y21*HE_FM!$C$3+HeatExchanger!Z21*HE_FM!$D$3</f>
        <v>1</v>
      </c>
      <c r="AD21" s="10">
        <f>K21*(HE_Coeff!$K$2+HE_Coeff!$L$2*HeatExchanger!U21*HeatExchanger!AC21)</f>
        <v>0</v>
      </c>
    </row>
    <row r="22" spans="1:30" x14ac:dyDescent="0.15">
      <c r="A22" s="5">
        <f t="shared" si="14"/>
        <v>13</v>
      </c>
      <c r="B22" s="7"/>
      <c r="C22" s="7">
        <v>1</v>
      </c>
      <c r="D22" s="7"/>
      <c r="E22" s="5">
        <f t="shared" si="1"/>
        <v>0</v>
      </c>
      <c r="F22" s="5">
        <f t="shared" si="2"/>
        <v>0</v>
      </c>
      <c r="G22" s="5">
        <f t="shared" si="3"/>
        <v>0</v>
      </c>
      <c r="H22" s="5">
        <f>10^(HE_Coeff!$B$2+HE_Coeff!$C$2*LOG(HeatExchanger!C22)+HE_Coeff!$D$2*(LOG(HeatExchanger!C22)^2))</f>
        <v>1636.0629131014164</v>
      </c>
      <c r="I22" s="5">
        <f>10^(HE_Coeff!$B$3+HE_Coeff!$C$3*LOG(HeatExchanger!C22)+HE_Coeff!$D$3*(LOG(HeatExchanger!C22)^2))</f>
        <v>2715.1885903272678</v>
      </c>
      <c r="J22" s="5">
        <f>10^(HE_Coeff!$B$4+HE_Coeff!$C$4*LOG(HeatExchanger!C22)+HE_Coeff!$D$4*(LOG(HeatExchanger!C22)^2))</f>
        <v>3662.6886275878383</v>
      </c>
      <c r="K22" s="10">
        <f t="shared" si="4"/>
        <v>0</v>
      </c>
      <c r="L22" s="7">
        <v>1</v>
      </c>
      <c r="M22" s="7">
        <v>1</v>
      </c>
      <c r="N22" s="9">
        <f t="shared" si="5"/>
        <v>1</v>
      </c>
      <c r="O22" s="5">
        <f t="shared" si="6"/>
        <v>0</v>
      </c>
      <c r="P22" s="5">
        <f t="shared" si="7"/>
        <v>0</v>
      </c>
      <c r="Q22" s="5">
        <f t="shared" si="8"/>
        <v>1</v>
      </c>
      <c r="R22" s="5">
        <f>10^(HE_Coeff!$E$2+HE_Coeff!$F$2*LOG(HeatExchanger!N22)+HE_Coeff!$G$2*(LOG(HeatExchanger!N22)^2))</f>
        <v>0.86101357752663688</v>
      </c>
      <c r="S22" s="5">
        <f>10^(HE_Coeff!$H$2+HE_Coeff!$I$2*LOG(HeatExchanger!N22))</f>
        <v>0.90909652984037714</v>
      </c>
      <c r="T22" s="5">
        <f>1</f>
        <v>1</v>
      </c>
      <c r="U22" s="8">
        <f t="shared" si="9"/>
        <v>1</v>
      </c>
      <c r="V22" s="7" t="s">
        <v>44</v>
      </c>
      <c r="W22" s="7" t="s">
        <v>44</v>
      </c>
      <c r="X22" s="5">
        <f t="shared" si="10"/>
        <v>1</v>
      </c>
      <c r="Y22" s="5">
        <f t="shared" si="11"/>
        <v>0</v>
      </c>
      <c r="Z22" s="5">
        <f t="shared" si="12"/>
        <v>0</v>
      </c>
      <c r="AA22" s="5">
        <f t="shared" si="13"/>
        <v>0</v>
      </c>
      <c r="AB22" s="5">
        <f t="shared" si="0"/>
        <v>0</v>
      </c>
      <c r="AC22" s="8">
        <f>X22*HE_FM!$B$3+HeatExchanger!Y22*HE_FM!$C$3+HeatExchanger!Z22*HE_FM!$D$3</f>
        <v>1</v>
      </c>
      <c r="AD22" s="10">
        <f>K22*(HE_Coeff!$K$2+HE_Coeff!$L$2*HeatExchanger!U22*HeatExchanger!AC22)</f>
        <v>0</v>
      </c>
    </row>
    <row r="23" spans="1:30" x14ac:dyDescent="0.15">
      <c r="A23" s="5">
        <f t="shared" si="14"/>
        <v>14</v>
      </c>
      <c r="B23" s="7"/>
      <c r="C23" s="7">
        <v>1</v>
      </c>
      <c r="D23" s="7"/>
      <c r="E23" s="5">
        <f t="shared" si="1"/>
        <v>0</v>
      </c>
      <c r="F23" s="5">
        <f t="shared" si="2"/>
        <v>0</v>
      </c>
      <c r="G23" s="5">
        <f t="shared" si="3"/>
        <v>0</v>
      </c>
      <c r="H23" s="5">
        <f>10^(HE_Coeff!$B$2+HE_Coeff!$C$2*LOG(HeatExchanger!C23)+HE_Coeff!$D$2*(LOG(HeatExchanger!C23)^2))</f>
        <v>1636.0629131014164</v>
      </c>
      <c r="I23" s="5">
        <f>10^(HE_Coeff!$B$3+HE_Coeff!$C$3*LOG(HeatExchanger!C23)+HE_Coeff!$D$3*(LOG(HeatExchanger!C23)^2))</f>
        <v>2715.1885903272678</v>
      </c>
      <c r="J23" s="5">
        <f>10^(HE_Coeff!$B$4+HE_Coeff!$C$4*LOG(HeatExchanger!C23)+HE_Coeff!$D$4*(LOG(HeatExchanger!C23)^2))</f>
        <v>3662.6886275878383</v>
      </c>
      <c r="K23" s="10">
        <f t="shared" si="4"/>
        <v>0</v>
      </c>
      <c r="L23" s="7">
        <v>1</v>
      </c>
      <c r="M23" s="7">
        <v>1</v>
      </c>
      <c r="N23" s="9">
        <f t="shared" si="5"/>
        <v>1</v>
      </c>
      <c r="O23" s="5">
        <f t="shared" si="6"/>
        <v>0</v>
      </c>
      <c r="P23" s="5">
        <f t="shared" si="7"/>
        <v>0</v>
      </c>
      <c r="Q23" s="5">
        <f t="shared" si="8"/>
        <v>1</v>
      </c>
      <c r="R23" s="5">
        <f>10^(HE_Coeff!$E$2+HE_Coeff!$F$2*LOG(HeatExchanger!N23)+HE_Coeff!$G$2*(LOG(HeatExchanger!N23)^2))</f>
        <v>0.86101357752663688</v>
      </c>
      <c r="S23" s="5">
        <f>10^(HE_Coeff!$H$2+HE_Coeff!$I$2*LOG(HeatExchanger!N23))</f>
        <v>0.90909652984037714</v>
      </c>
      <c r="T23" s="5">
        <f>1</f>
        <v>1</v>
      </c>
      <c r="U23" s="8">
        <f t="shared" si="9"/>
        <v>1</v>
      </c>
      <c r="V23" s="7" t="s">
        <v>44</v>
      </c>
      <c r="W23" s="7" t="s">
        <v>44</v>
      </c>
      <c r="X23" s="5">
        <f t="shared" si="10"/>
        <v>1</v>
      </c>
      <c r="Y23" s="5">
        <f t="shared" si="11"/>
        <v>0</v>
      </c>
      <c r="Z23" s="5">
        <f t="shared" si="12"/>
        <v>0</v>
      </c>
      <c r="AA23" s="5">
        <f t="shared" si="13"/>
        <v>0</v>
      </c>
      <c r="AB23" s="5">
        <f t="shared" si="0"/>
        <v>0</v>
      </c>
      <c r="AC23" s="8">
        <f>X23*HE_FM!$B$3+HeatExchanger!Y23*HE_FM!$C$3+HeatExchanger!Z23*HE_FM!$D$3</f>
        <v>1</v>
      </c>
      <c r="AD23" s="10">
        <f>K23*(HE_Coeff!$K$2+HE_Coeff!$L$2*HeatExchanger!U23*HeatExchanger!AC23)</f>
        <v>0</v>
      </c>
    </row>
    <row r="24" spans="1:30" x14ac:dyDescent="0.15">
      <c r="A24" s="5">
        <f t="shared" si="14"/>
        <v>15</v>
      </c>
      <c r="B24" s="7"/>
      <c r="C24" s="7">
        <v>1</v>
      </c>
      <c r="D24" s="7"/>
      <c r="E24" s="5">
        <f t="shared" si="1"/>
        <v>0</v>
      </c>
      <c r="F24" s="5">
        <f t="shared" si="2"/>
        <v>0</v>
      </c>
      <c r="G24" s="5">
        <f t="shared" si="3"/>
        <v>0</v>
      </c>
      <c r="H24" s="5">
        <f>10^(HE_Coeff!$B$2+HE_Coeff!$C$2*LOG(HeatExchanger!C24)+HE_Coeff!$D$2*(LOG(HeatExchanger!C24)^2))</f>
        <v>1636.0629131014164</v>
      </c>
      <c r="I24" s="5">
        <f>10^(HE_Coeff!$B$3+HE_Coeff!$C$3*LOG(HeatExchanger!C24)+HE_Coeff!$D$3*(LOG(HeatExchanger!C24)^2))</f>
        <v>2715.1885903272678</v>
      </c>
      <c r="J24" s="5">
        <f>10^(HE_Coeff!$B$4+HE_Coeff!$C$4*LOG(HeatExchanger!C24)+HE_Coeff!$D$4*(LOG(HeatExchanger!C24)^2))</f>
        <v>3662.6886275878383</v>
      </c>
      <c r="K24" s="10">
        <f t="shared" si="4"/>
        <v>0</v>
      </c>
      <c r="L24" s="7">
        <v>1</v>
      </c>
      <c r="M24" s="7">
        <v>1</v>
      </c>
      <c r="N24" s="9">
        <f t="shared" si="5"/>
        <v>1</v>
      </c>
      <c r="O24" s="5">
        <f t="shared" si="6"/>
        <v>0</v>
      </c>
      <c r="P24" s="5">
        <f t="shared" si="7"/>
        <v>0</v>
      </c>
      <c r="Q24" s="5">
        <f t="shared" si="8"/>
        <v>1</v>
      </c>
      <c r="R24" s="5">
        <f>10^(HE_Coeff!$E$2+HE_Coeff!$F$2*LOG(HeatExchanger!N24)+HE_Coeff!$G$2*(LOG(HeatExchanger!N24)^2))</f>
        <v>0.86101357752663688</v>
      </c>
      <c r="S24" s="5">
        <f>10^(HE_Coeff!$H$2+HE_Coeff!$I$2*LOG(HeatExchanger!N24))</f>
        <v>0.90909652984037714</v>
      </c>
      <c r="T24" s="5">
        <f>1</f>
        <v>1</v>
      </c>
      <c r="U24" s="8">
        <f t="shared" si="9"/>
        <v>1</v>
      </c>
      <c r="V24" s="7" t="s">
        <v>44</v>
      </c>
      <c r="W24" s="7" t="s">
        <v>44</v>
      </c>
      <c r="X24" s="5">
        <f t="shared" si="10"/>
        <v>1</v>
      </c>
      <c r="Y24" s="5">
        <f t="shared" si="11"/>
        <v>0</v>
      </c>
      <c r="Z24" s="5">
        <f t="shared" si="12"/>
        <v>0</v>
      </c>
      <c r="AA24" s="5">
        <f t="shared" si="13"/>
        <v>0</v>
      </c>
      <c r="AB24" s="5">
        <f t="shared" si="0"/>
        <v>0</v>
      </c>
      <c r="AC24" s="8">
        <f>X24*HE_FM!$B$3+HeatExchanger!Y24*HE_FM!$C$3+HeatExchanger!Z24*HE_FM!$D$3</f>
        <v>1</v>
      </c>
      <c r="AD24" s="10">
        <f>K24*(HE_Coeff!$K$2+HE_Coeff!$L$2*HeatExchanger!U24*HeatExchanger!AC24)</f>
        <v>0</v>
      </c>
    </row>
    <row r="25" spans="1:30" x14ac:dyDescent="0.15">
      <c r="A25" s="5">
        <f t="shared" si="14"/>
        <v>16</v>
      </c>
      <c r="B25" s="7"/>
      <c r="C25" s="7">
        <v>1</v>
      </c>
      <c r="D25" s="7"/>
      <c r="E25" s="5">
        <f t="shared" si="1"/>
        <v>0</v>
      </c>
      <c r="F25" s="5">
        <f t="shared" si="2"/>
        <v>0</v>
      </c>
      <c r="G25" s="5">
        <f t="shared" si="3"/>
        <v>0</v>
      </c>
      <c r="H25" s="5">
        <f>10^(HE_Coeff!$B$2+HE_Coeff!$C$2*LOG(HeatExchanger!C25)+HE_Coeff!$D$2*(LOG(HeatExchanger!C25)^2))</f>
        <v>1636.0629131014164</v>
      </c>
      <c r="I25" s="5">
        <f>10^(HE_Coeff!$B$3+HE_Coeff!$C$3*LOG(HeatExchanger!C25)+HE_Coeff!$D$3*(LOG(HeatExchanger!C25)^2))</f>
        <v>2715.1885903272678</v>
      </c>
      <c r="J25" s="5">
        <f>10^(HE_Coeff!$B$4+HE_Coeff!$C$4*LOG(HeatExchanger!C25)+HE_Coeff!$D$4*(LOG(HeatExchanger!C25)^2))</f>
        <v>3662.6886275878383</v>
      </c>
      <c r="K25" s="10">
        <f t="shared" si="4"/>
        <v>0</v>
      </c>
      <c r="L25" s="7">
        <v>1</v>
      </c>
      <c r="M25" s="7">
        <v>1</v>
      </c>
      <c r="N25" s="9">
        <f t="shared" si="5"/>
        <v>1</v>
      </c>
      <c r="O25" s="5">
        <f t="shared" si="6"/>
        <v>0</v>
      </c>
      <c r="P25" s="5">
        <f t="shared" si="7"/>
        <v>0</v>
      </c>
      <c r="Q25" s="5">
        <f t="shared" si="8"/>
        <v>1</v>
      </c>
      <c r="R25" s="5">
        <f>10^(HE_Coeff!$E$2+HE_Coeff!$F$2*LOG(HeatExchanger!N25)+HE_Coeff!$G$2*(LOG(HeatExchanger!N25)^2))</f>
        <v>0.86101357752663688</v>
      </c>
      <c r="S25" s="5">
        <f>10^(HE_Coeff!$H$2+HE_Coeff!$I$2*LOG(HeatExchanger!N25))</f>
        <v>0.90909652984037714</v>
      </c>
      <c r="T25" s="5">
        <f>1</f>
        <v>1</v>
      </c>
      <c r="U25" s="8">
        <f t="shared" si="9"/>
        <v>1</v>
      </c>
      <c r="V25" s="7" t="s">
        <v>44</v>
      </c>
      <c r="W25" s="7" t="s">
        <v>44</v>
      </c>
      <c r="X25" s="5">
        <f t="shared" si="10"/>
        <v>1</v>
      </c>
      <c r="Y25" s="5">
        <f t="shared" si="11"/>
        <v>0</v>
      </c>
      <c r="Z25" s="5">
        <f t="shared" si="12"/>
        <v>0</v>
      </c>
      <c r="AA25" s="5">
        <f t="shared" si="13"/>
        <v>0</v>
      </c>
      <c r="AB25" s="5">
        <f t="shared" si="0"/>
        <v>0</v>
      </c>
      <c r="AC25" s="8">
        <f>X25*HE_FM!$B$3+HeatExchanger!Y25*HE_FM!$C$3+HeatExchanger!Z25*HE_FM!$D$3</f>
        <v>1</v>
      </c>
      <c r="AD25" s="10">
        <f>K25*(HE_Coeff!$K$2+HE_Coeff!$L$2*HeatExchanger!U25*HeatExchanger!AC25)</f>
        <v>0</v>
      </c>
    </row>
    <row r="26" spans="1:30" x14ac:dyDescent="0.15">
      <c r="A26" s="5">
        <f t="shared" si="14"/>
        <v>17</v>
      </c>
      <c r="B26" s="7"/>
      <c r="C26" s="7">
        <v>1</v>
      </c>
      <c r="D26" s="7"/>
      <c r="E26" s="5">
        <f t="shared" si="1"/>
        <v>0</v>
      </c>
      <c r="F26" s="5">
        <f t="shared" si="2"/>
        <v>0</v>
      </c>
      <c r="G26" s="5">
        <f t="shared" si="3"/>
        <v>0</v>
      </c>
      <c r="H26" s="5">
        <f>10^(HE_Coeff!$B$2+HE_Coeff!$C$2*LOG(HeatExchanger!C26)+HE_Coeff!$D$2*(LOG(HeatExchanger!C26)^2))</f>
        <v>1636.0629131014164</v>
      </c>
      <c r="I26" s="5">
        <f>10^(HE_Coeff!$B$3+HE_Coeff!$C$3*LOG(HeatExchanger!C26)+HE_Coeff!$D$3*(LOG(HeatExchanger!C26)^2))</f>
        <v>2715.1885903272678</v>
      </c>
      <c r="J26" s="5">
        <f>10^(HE_Coeff!$B$4+HE_Coeff!$C$4*LOG(HeatExchanger!C26)+HE_Coeff!$D$4*(LOG(HeatExchanger!C26)^2))</f>
        <v>3662.6886275878383</v>
      </c>
      <c r="K26" s="10">
        <f t="shared" si="4"/>
        <v>0</v>
      </c>
      <c r="L26" s="7">
        <v>1</v>
      </c>
      <c r="M26" s="7">
        <v>1</v>
      </c>
      <c r="N26" s="9">
        <f t="shared" si="5"/>
        <v>1</v>
      </c>
      <c r="O26" s="5">
        <f t="shared" si="6"/>
        <v>0</v>
      </c>
      <c r="P26" s="5">
        <f t="shared" si="7"/>
        <v>0</v>
      </c>
      <c r="Q26" s="5">
        <f t="shared" si="8"/>
        <v>1</v>
      </c>
      <c r="R26" s="5">
        <f>10^(HE_Coeff!$E$2+HE_Coeff!$F$2*LOG(HeatExchanger!N26)+HE_Coeff!$G$2*(LOG(HeatExchanger!N26)^2))</f>
        <v>0.86101357752663688</v>
      </c>
      <c r="S26" s="5">
        <f>10^(HE_Coeff!$H$2+HE_Coeff!$I$2*LOG(HeatExchanger!N26))</f>
        <v>0.90909652984037714</v>
      </c>
      <c r="T26" s="5">
        <f>1</f>
        <v>1</v>
      </c>
      <c r="U26" s="8">
        <f t="shared" si="9"/>
        <v>1</v>
      </c>
      <c r="V26" s="7" t="s">
        <v>44</v>
      </c>
      <c r="W26" s="7" t="s">
        <v>44</v>
      </c>
      <c r="X26" s="5">
        <f t="shared" si="10"/>
        <v>1</v>
      </c>
      <c r="Y26" s="5">
        <f t="shared" si="11"/>
        <v>0</v>
      </c>
      <c r="Z26" s="5">
        <f t="shared" si="12"/>
        <v>0</v>
      </c>
      <c r="AA26" s="5">
        <f t="shared" si="13"/>
        <v>0</v>
      </c>
      <c r="AB26" s="5">
        <f t="shared" si="0"/>
        <v>0</v>
      </c>
      <c r="AC26" s="8">
        <f>X26*HE_FM!$B$3+HeatExchanger!Y26*HE_FM!$C$3+HeatExchanger!Z26*HE_FM!$D$3</f>
        <v>1</v>
      </c>
      <c r="AD26" s="10">
        <f>K26*(HE_Coeff!$K$2+HE_Coeff!$L$2*HeatExchanger!U26*HeatExchanger!AC26)</f>
        <v>0</v>
      </c>
    </row>
    <row r="27" spans="1:30" x14ac:dyDescent="0.15">
      <c r="A27" s="5">
        <f t="shared" si="14"/>
        <v>18</v>
      </c>
      <c r="B27" s="7"/>
      <c r="C27" s="7">
        <v>1</v>
      </c>
      <c r="D27" s="7"/>
      <c r="E27" s="5">
        <f t="shared" si="1"/>
        <v>0</v>
      </c>
      <c r="F27" s="5">
        <f t="shared" si="2"/>
        <v>0</v>
      </c>
      <c r="G27" s="5">
        <f t="shared" si="3"/>
        <v>0</v>
      </c>
      <c r="H27" s="5">
        <f>10^(HE_Coeff!$B$2+HE_Coeff!$C$2*LOG(HeatExchanger!C27)+HE_Coeff!$D$2*(LOG(HeatExchanger!C27)^2))</f>
        <v>1636.0629131014164</v>
      </c>
      <c r="I27" s="5">
        <f>10^(HE_Coeff!$B$3+HE_Coeff!$C$3*LOG(HeatExchanger!C27)+HE_Coeff!$D$3*(LOG(HeatExchanger!C27)^2))</f>
        <v>2715.1885903272678</v>
      </c>
      <c r="J27" s="5">
        <f>10^(HE_Coeff!$B$4+HE_Coeff!$C$4*LOG(HeatExchanger!C27)+HE_Coeff!$D$4*(LOG(HeatExchanger!C27)^2))</f>
        <v>3662.6886275878383</v>
      </c>
      <c r="K27" s="10">
        <f t="shared" si="4"/>
        <v>0</v>
      </c>
      <c r="L27" s="7">
        <v>1</v>
      </c>
      <c r="M27" s="7">
        <v>1</v>
      </c>
      <c r="N27" s="9">
        <f t="shared" si="5"/>
        <v>1</v>
      </c>
      <c r="O27" s="5">
        <f t="shared" si="6"/>
        <v>0</v>
      </c>
      <c r="P27" s="5">
        <f t="shared" si="7"/>
        <v>0</v>
      </c>
      <c r="Q27" s="5">
        <f t="shared" si="8"/>
        <v>1</v>
      </c>
      <c r="R27" s="5">
        <f>10^(HE_Coeff!$E$2+HE_Coeff!$F$2*LOG(HeatExchanger!N27)+HE_Coeff!$G$2*(LOG(HeatExchanger!N27)^2))</f>
        <v>0.86101357752663688</v>
      </c>
      <c r="S27" s="5">
        <f>10^(HE_Coeff!$H$2+HE_Coeff!$I$2*LOG(HeatExchanger!N27))</f>
        <v>0.90909652984037714</v>
      </c>
      <c r="T27" s="5">
        <f>1</f>
        <v>1</v>
      </c>
      <c r="U27" s="8">
        <f t="shared" si="9"/>
        <v>1</v>
      </c>
      <c r="V27" s="7" t="s">
        <v>44</v>
      </c>
      <c r="W27" s="7" t="s">
        <v>44</v>
      </c>
      <c r="X27" s="5">
        <f t="shared" si="10"/>
        <v>1</v>
      </c>
      <c r="Y27" s="5">
        <f t="shared" si="11"/>
        <v>0</v>
      </c>
      <c r="Z27" s="5">
        <f>IF(OR(AND(V27="SS",W27="CS"),AND(V27="SS",W27="SS")),1,0)</f>
        <v>0</v>
      </c>
      <c r="AA27" s="5">
        <f t="shared" si="13"/>
        <v>0</v>
      </c>
      <c r="AB27" s="5">
        <f>IF(OR(AND(V27="Ni_alloy",W27="Ni_alloy"),AND(V27="Ni_alloy",W27="SS"),AND(V27="Ni_alloy",W27="CS"),AND(V27="SS",W27="Ni_alloy")),1,0)</f>
        <v>0</v>
      </c>
      <c r="AC27" s="8">
        <f>X27*1+Y27*1.7+Z27*3+AA27*2.8+AB27*3.8</f>
        <v>1</v>
      </c>
      <c r="AD27" s="10">
        <f>K27*(HE_Coeff!$K$2+HE_Coeff!$L$2*HeatExchanger!U27*HeatExchanger!AC27)</f>
        <v>0</v>
      </c>
    </row>
    <row r="28" spans="1:30" x14ac:dyDescent="0.15">
      <c r="A28" s="5">
        <f t="shared" si="14"/>
        <v>19</v>
      </c>
      <c r="B28" s="7"/>
      <c r="C28" s="7">
        <v>1</v>
      </c>
      <c r="D28" s="7"/>
      <c r="E28" s="5">
        <f t="shared" si="1"/>
        <v>0</v>
      </c>
      <c r="F28" s="5">
        <f t="shared" si="2"/>
        <v>0</v>
      </c>
      <c r="G28" s="5">
        <f t="shared" si="3"/>
        <v>0</v>
      </c>
      <c r="H28" s="5">
        <f>10^(HE_Coeff!$B$2+HE_Coeff!$C$2*LOG(HeatExchanger!C28)+HE_Coeff!$D$2*(LOG(HeatExchanger!C28)^2))</f>
        <v>1636.0629131014164</v>
      </c>
      <c r="I28" s="5">
        <f>10^(HE_Coeff!$B$3+HE_Coeff!$C$3*LOG(HeatExchanger!C28)+HE_Coeff!$D$3*(LOG(HeatExchanger!C28)^2))</f>
        <v>2715.1885903272678</v>
      </c>
      <c r="J28" s="5">
        <f>10^(HE_Coeff!$B$4+HE_Coeff!$C$4*LOG(HeatExchanger!C28)+HE_Coeff!$D$4*(LOG(HeatExchanger!C28)^2))</f>
        <v>3662.6886275878383</v>
      </c>
      <c r="K28" s="10">
        <f t="shared" si="4"/>
        <v>0</v>
      </c>
      <c r="L28" s="7">
        <v>1</v>
      </c>
      <c r="M28" s="7">
        <v>1</v>
      </c>
      <c r="N28" s="9">
        <f t="shared" si="5"/>
        <v>1</v>
      </c>
      <c r="O28" s="5">
        <f t="shared" si="6"/>
        <v>0</v>
      </c>
      <c r="P28" s="5">
        <f t="shared" si="7"/>
        <v>0</v>
      </c>
      <c r="Q28" s="5">
        <f t="shared" si="8"/>
        <v>1</v>
      </c>
      <c r="R28" s="5">
        <f>10^(HE_Coeff!$E$2+HE_Coeff!$F$2*LOG(HeatExchanger!N28)+HE_Coeff!$G$2*(LOG(HeatExchanger!N28)^2))</f>
        <v>0.86101357752663688</v>
      </c>
      <c r="S28" s="5">
        <f>10^(HE_Coeff!$H$2+HE_Coeff!$I$2*LOG(HeatExchanger!N28))</f>
        <v>0.90909652984037714</v>
      </c>
      <c r="T28" s="5">
        <f>1</f>
        <v>1</v>
      </c>
      <c r="U28" s="8">
        <f t="shared" si="9"/>
        <v>1</v>
      </c>
      <c r="V28" s="7" t="s">
        <v>44</v>
      </c>
      <c r="W28" s="7" t="s">
        <v>44</v>
      </c>
      <c r="X28" s="5">
        <f t="shared" si="10"/>
        <v>1</v>
      </c>
      <c r="Y28" s="5">
        <f t="shared" si="11"/>
        <v>0</v>
      </c>
      <c r="Z28" s="5">
        <f t="shared" si="12"/>
        <v>0</v>
      </c>
      <c r="AA28" s="5">
        <f t="shared" si="13"/>
        <v>0</v>
      </c>
      <c r="AB28" s="5">
        <f t="shared" ref="AB28:AB58" si="15">IF(OR(AND(V28="Ni_alloy",W28="Ni_alloy"),AND(V28="Ni_alloy",W28="SS"),AND(V28="Ni_alloy",W28="CS"),AND(V28="SS",W28="Ni_alloy")),1,0)</f>
        <v>0</v>
      </c>
      <c r="AC28" s="8">
        <f t="shared" ref="AC28:AC58" si="16">X28*1+Y28*1.7+Z28*3+AA28*2.8+AB28*3.8</f>
        <v>1</v>
      </c>
      <c r="AD28" s="10">
        <f>K28*(HE_Coeff!$K$2+HE_Coeff!$L$2*HeatExchanger!U28*HeatExchanger!AC28)</f>
        <v>0</v>
      </c>
    </row>
    <row r="29" spans="1:30" x14ac:dyDescent="0.15">
      <c r="A29" s="5">
        <f t="shared" si="14"/>
        <v>20</v>
      </c>
      <c r="B29" s="7"/>
      <c r="C29" s="7">
        <v>1</v>
      </c>
      <c r="D29" s="7"/>
      <c r="E29" s="5">
        <f t="shared" si="1"/>
        <v>0</v>
      </c>
      <c r="F29" s="5">
        <f t="shared" si="2"/>
        <v>0</v>
      </c>
      <c r="G29" s="5">
        <f t="shared" si="3"/>
        <v>0</v>
      </c>
      <c r="H29" s="5">
        <f>10^(HE_Coeff!$B$2+HE_Coeff!$C$2*LOG(HeatExchanger!C29)+HE_Coeff!$D$2*(LOG(HeatExchanger!C29)^2))</f>
        <v>1636.0629131014164</v>
      </c>
      <c r="I29" s="5">
        <f>10^(HE_Coeff!$B$3+HE_Coeff!$C$3*LOG(HeatExchanger!C29)+HE_Coeff!$D$3*(LOG(HeatExchanger!C29)^2))</f>
        <v>2715.1885903272678</v>
      </c>
      <c r="J29" s="5">
        <f>10^(HE_Coeff!$B$4+HE_Coeff!$C$4*LOG(HeatExchanger!C29)+HE_Coeff!$D$4*(LOG(HeatExchanger!C29)^2))</f>
        <v>3662.6886275878383</v>
      </c>
      <c r="K29" s="10">
        <f t="shared" si="4"/>
        <v>0</v>
      </c>
      <c r="L29" s="7">
        <v>1</v>
      </c>
      <c r="M29" s="7">
        <v>1</v>
      </c>
      <c r="N29" s="9">
        <f t="shared" si="5"/>
        <v>1</v>
      </c>
      <c r="O29" s="5">
        <f t="shared" si="6"/>
        <v>0</v>
      </c>
      <c r="P29" s="5">
        <f t="shared" si="7"/>
        <v>0</v>
      </c>
      <c r="Q29" s="5">
        <f t="shared" si="8"/>
        <v>1</v>
      </c>
      <c r="R29" s="5">
        <f>10^(HE_Coeff!$E$2+HE_Coeff!$F$2*LOG(HeatExchanger!N29)+HE_Coeff!$G$2*(LOG(HeatExchanger!N29)^2))</f>
        <v>0.86101357752663688</v>
      </c>
      <c r="S29" s="5">
        <f>10^(HE_Coeff!$H$2+HE_Coeff!$I$2*LOG(HeatExchanger!N29))</f>
        <v>0.90909652984037714</v>
      </c>
      <c r="T29" s="5">
        <f>1</f>
        <v>1</v>
      </c>
      <c r="U29" s="8">
        <f t="shared" si="9"/>
        <v>1</v>
      </c>
      <c r="V29" s="7" t="s">
        <v>44</v>
      </c>
      <c r="W29" s="7" t="s">
        <v>44</v>
      </c>
      <c r="X29" s="5">
        <f t="shared" si="10"/>
        <v>1</v>
      </c>
      <c r="Y29" s="5">
        <f t="shared" si="11"/>
        <v>0</v>
      </c>
      <c r="Z29" s="5">
        <f t="shared" si="12"/>
        <v>0</v>
      </c>
      <c r="AA29" s="5">
        <f t="shared" si="13"/>
        <v>0</v>
      </c>
      <c r="AB29" s="5">
        <f t="shared" si="15"/>
        <v>0</v>
      </c>
      <c r="AC29" s="8">
        <f t="shared" si="16"/>
        <v>1</v>
      </c>
      <c r="AD29" s="10">
        <f>K29*(HE_Coeff!$K$2+HE_Coeff!$L$2*HeatExchanger!U29*HeatExchanger!AC29)</f>
        <v>0</v>
      </c>
    </row>
    <row r="30" spans="1:30" x14ac:dyDescent="0.15">
      <c r="A30" s="5">
        <f t="shared" si="14"/>
        <v>21</v>
      </c>
      <c r="B30" s="7"/>
      <c r="C30" s="7">
        <v>1</v>
      </c>
      <c r="D30" s="7"/>
      <c r="E30" s="5">
        <f t="shared" si="1"/>
        <v>0</v>
      </c>
      <c r="F30" s="5">
        <f t="shared" si="2"/>
        <v>0</v>
      </c>
      <c r="G30" s="5">
        <f t="shared" si="3"/>
        <v>0</v>
      </c>
      <c r="H30" s="5">
        <f>10^(HE_Coeff!$B$2+HE_Coeff!$C$2*LOG(HeatExchanger!C30)+HE_Coeff!$D$2*(LOG(HeatExchanger!C30)^2))</f>
        <v>1636.0629131014164</v>
      </c>
      <c r="I30" s="5">
        <f>10^(HE_Coeff!$B$3+HE_Coeff!$C$3*LOG(HeatExchanger!C30)+HE_Coeff!$D$3*(LOG(HeatExchanger!C30)^2))</f>
        <v>2715.1885903272678</v>
      </c>
      <c r="J30" s="5">
        <f>10^(HE_Coeff!$B$4+HE_Coeff!$C$4*LOG(HeatExchanger!C30)+HE_Coeff!$D$4*(LOG(HeatExchanger!C30)^2))</f>
        <v>3662.6886275878383</v>
      </c>
      <c r="K30" s="10">
        <f t="shared" si="4"/>
        <v>0</v>
      </c>
      <c r="L30" s="7">
        <v>1</v>
      </c>
      <c r="M30" s="7">
        <v>1</v>
      </c>
      <c r="N30" s="9">
        <f t="shared" si="5"/>
        <v>1</v>
      </c>
      <c r="O30" s="5">
        <f t="shared" si="6"/>
        <v>0</v>
      </c>
      <c r="P30" s="5">
        <f t="shared" si="7"/>
        <v>0</v>
      </c>
      <c r="Q30" s="5">
        <f t="shared" si="8"/>
        <v>1</v>
      </c>
      <c r="R30" s="5">
        <f>10^(HE_Coeff!$E$2+HE_Coeff!$F$2*LOG(HeatExchanger!N30)+HE_Coeff!$G$2*(LOG(HeatExchanger!N30)^2))</f>
        <v>0.86101357752663688</v>
      </c>
      <c r="S30" s="5">
        <f>10^(HE_Coeff!$H$2+HE_Coeff!$I$2*LOG(HeatExchanger!N30))</f>
        <v>0.90909652984037714</v>
      </c>
      <c r="T30" s="5">
        <f>1</f>
        <v>1</v>
      </c>
      <c r="U30" s="8">
        <f t="shared" si="9"/>
        <v>1</v>
      </c>
      <c r="V30" s="7" t="s">
        <v>44</v>
      </c>
      <c r="W30" s="7" t="s">
        <v>44</v>
      </c>
      <c r="X30" s="5">
        <f t="shared" si="10"/>
        <v>1</v>
      </c>
      <c r="Y30" s="5">
        <f t="shared" si="11"/>
        <v>0</v>
      </c>
      <c r="Z30" s="5">
        <f t="shared" si="12"/>
        <v>0</v>
      </c>
      <c r="AA30" s="5">
        <f t="shared" si="13"/>
        <v>0</v>
      </c>
      <c r="AB30" s="5">
        <f t="shared" si="15"/>
        <v>0</v>
      </c>
      <c r="AC30" s="8">
        <f t="shared" si="16"/>
        <v>1</v>
      </c>
      <c r="AD30" s="10">
        <f>K30*(HE_Coeff!$K$2+HE_Coeff!$L$2*HeatExchanger!U30*HeatExchanger!AC30)</f>
        <v>0</v>
      </c>
    </row>
    <row r="31" spans="1:30" x14ac:dyDescent="0.15">
      <c r="A31" s="5">
        <f t="shared" si="14"/>
        <v>22</v>
      </c>
      <c r="B31" s="7"/>
      <c r="C31" s="7">
        <v>1</v>
      </c>
      <c r="D31" s="7"/>
      <c r="E31" s="5">
        <f t="shared" si="1"/>
        <v>0</v>
      </c>
      <c r="F31" s="5">
        <f t="shared" si="2"/>
        <v>0</v>
      </c>
      <c r="G31" s="5">
        <f t="shared" si="3"/>
        <v>0</v>
      </c>
      <c r="H31" s="5">
        <f>10^(HE_Coeff!$B$2+HE_Coeff!$C$2*LOG(HeatExchanger!C31)+HE_Coeff!$D$2*(LOG(HeatExchanger!C31)^2))</f>
        <v>1636.0629131014164</v>
      </c>
      <c r="I31" s="5">
        <f>10^(HE_Coeff!$B$3+HE_Coeff!$C$3*LOG(HeatExchanger!C31)+HE_Coeff!$D$3*(LOG(HeatExchanger!C31)^2))</f>
        <v>2715.1885903272678</v>
      </c>
      <c r="J31" s="5">
        <f>10^(HE_Coeff!$B$4+HE_Coeff!$C$4*LOG(HeatExchanger!C31)+HE_Coeff!$D$4*(LOG(HeatExchanger!C31)^2))</f>
        <v>3662.6886275878383</v>
      </c>
      <c r="K31" s="10">
        <f t="shared" si="4"/>
        <v>0</v>
      </c>
      <c r="L31" s="7">
        <v>1</v>
      </c>
      <c r="M31" s="7">
        <v>1</v>
      </c>
      <c r="N31" s="9">
        <f t="shared" si="5"/>
        <v>1</v>
      </c>
      <c r="O31" s="5">
        <f t="shared" si="6"/>
        <v>0</v>
      </c>
      <c r="P31" s="5">
        <f t="shared" si="7"/>
        <v>0</v>
      </c>
      <c r="Q31" s="5">
        <f t="shared" si="8"/>
        <v>1</v>
      </c>
      <c r="R31" s="5">
        <f>10^(HE_Coeff!$E$2+HE_Coeff!$F$2*LOG(HeatExchanger!N31)+HE_Coeff!$G$2*(LOG(HeatExchanger!N31)^2))</f>
        <v>0.86101357752663688</v>
      </c>
      <c r="S31" s="5">
        <f>10^(HE_Coeff!$H$2+HE_Coeff!$I$2*LOG(HeatExchanger!N31))</f>
        <v>0.90909652984037714</v>
      </c>
      <c r="T31" s="5">
        <f>1</f>
        <v>1</v>
      </c>
      <c r="U31" s="8">
        <f t="shared" si="9"/>
        <v>1</v>
      </c>
      <c r="V31" s="7" t="s">
        <v>44</v>
      </c>
      <c r="W31" s="7" t="s">
        <v>44</v>
      </c>
      <c r="X31" s="5">
        <f t="shared" si="10"/>
        <v>1</v>
      </c>
      <c r="Y31" s="5">
        <f t="shared" si="11"/>
        <v>0</v>
      </c>
      <c r="Z31" s="5">
        <f t="shared" si="12"/>
        <v>0</v>
      </c>
      <c r="AA31" s="5">
        <f t="shared" si="13"/>
        <v>0</v>
      </c>
      <c r="AB31" s="5">
        <f t="shared" si="15"/>
        <v>0</v>
      </c>
      <c r="AC31" s="8">
        <f t="shared" si="16"/>
        <v>1</v>
      </c>
      <c r="AD31" s="10">
        <f>K31*(HE_Coeff!$K$2+HE_Coeff!$L$2*HeatExchanger!U31*HeatExchanger!AC31)</f>
        <v>0</v>
      </c>
    </row>
    <row r="32" spans="1:30" x14ac:dyDescent="0.15">
      <c r="A32" s="5">
        <f t="shared" si="14"/>
        <v>23</v>
      </c>
      <c r="B32" s="7"/>
      <c r="C32" s="7">
        <v>1</v>
      </c>
      <c r="D32" s="7"/>
      <c r="E32" s="5">
        <f t="shared" si="1"/>
        <v>0</v>
      </c>
      <c r="F32" s="5">
        <f t="shared" si="2"/>
        <v>0</v>
      </c>
      <c r="G32" s="5">
        <f t="shared" si="3"/>
        <v>0</v>
      </c>
      <c r="H32" s="5">
        <f>10^(HE_Coeff!$B$2+HE_Coeff!$C$2*LOG(HeatExchanger!C32)+HE_Coeff!$D$2*(LOG(HeatExchanger!C32)^2))</f>
        <v>1636.0629131014164</v>
      </c>
      <c r="I32" s="5">
        <f>10^(HE_Coeff!$B$3+HE_Coeff!$C$3*LOG(HeatExchanger!C32)+HE_Coeff!$D$3*(LOG(HeatExchanger!C32)^2))</f>
        <v>2715.1885903272678</v>
      </c>
      <c r="J32" s="5">
        <f>10^(HE_Coeff!$B$4+HE_Coeff!$C$4*LOG(HeatExchanger!C32)+HE_Coeff!$D$4*(LOG(HeatExchanger!C32)^2))</f>
        <v>3662.6886275878383</v>
      </c>
      <c r="K32" s="10">
        <f t="shared" si="4"/>
        <v>0</v>
      </c>
      <c r="L32" s="7">
        <v>1</v>
      </c>
      <c r="M32" s="7">
        <v>1</v>
      </c>
      <c r="N32" s="9">
        <f t="shared" si="5"/>
        <v>1</v>
      </c>
      <c r="O32" s="5">
        <f t="shared" si="6"/>
        <v>0</v>
      </c>
      <c r="P32" s="5">
        <f t="shared" si="7"/>
        <v>0</v>
      </c>
      <c r="Q32" s="5">
        <f t="shared" si="8"/>
        <v>1</v>
      </c>
      <c r="R32" s="5">
        <f>10^(HE_Coeff!$E$2+HE_Coeff!$F$2*LOG(HeatExchanger!N32)+HE_Coeff!$G$2*(LOG(HeatExchanger!N32)^2))</f>
        <v>0.86101357752663688</v>
      </c>
      <c r="S32" s="5">
        <f>10^(HE_Coeff!$H$2+HE_Coeff!$I$2*LOG(HeatExchanger!N32))</f>
        <v>0.90909652984037714</v>
      </c>
      <c r="T32" s="5">
        <f>1</f>
        <v>1</v>
      </c>
      <c r="U32" s="8">
        <f t="shared" si="9"/>
        <v>1</v>
      </c>
      <c r="V32" s="7" t="s">
        <v>44</v>
      </c>
      <c r="W32" s="7" t="s">
        <v>44</v>
      </c>
      <c r="X32" s="5">
        <f t="shared" si="10"/>
        <v>1</v>
      </c>
      <c r="Y32" s="5">
        <f t="shared" si="11"/>
        <v>0</v>
      </c>
      <c r="Z32" s="5">
        <f t="shared" si="12"/>
        <v>0</v>
      </c>
      <c r="AA32" s="5">
        <f t="shared" si="13"/>
        <v>0</v>
      </c>
      <c r="AB32" s="5">
        <f t="shared" si="15"/>
        <v>0</v>
      </c>
      <c r="AC32" s="8">
        <f t="shared" si="16"/>
        <v>1</v>
      </c>
      <c r="AD32" s="10">
        <f>K32*(HE_Coeff!$K$2+HE_Coeff!$L$2*HeatExchanger!U32*HeatExchanger!AC32)</f>
        <v>0</v>
      </c>
    </row>
    <row r="33" spans="1:30" x14ac:dyDescent="0.15">
      <c r="A33" s="5">
        <f t="shared" si="14"/>
        <v>24</v>
      </c>
      <c r="B33" s="7"/>
      <c r="C33" s="7">
        <v>1</v>
      </c>
      <c r="D33" s="7"/>
      <c r="E33" s="5">
        <f t="shared" si="1"/>
        <v>0</v>
      </c>
      <c r="F33" s="5">
        <f t="shared" si="2"/>
        <v>0</v>
      </c>
      <c r="G33" s="5">
        <f t="shared" si="3"/>
        <v>0</v>
      </c>
      <c r="H33" s="5">
        <f>10^(HE_Coeff!$B$2+HE_Coeff!$C$2*LOG(HeatExchanger!C33)+HE_Coeff!$D$2*(LOG(HeatExchanger!C33)^2))</f>
        <v>1636.0629131014164</v>
      </c>
      <c r="I33" s="5">
        <f>10^(HE_Coeff!$B$3+HE_Coeff!$C$3*LOG(HeatExchanger!C33)+HE_Coeff!$D$3*(LOG(HeatExchanger!C33)^2))</f>
        <v>2715.1885903272678</v>
      </c>
      <c r="J33" s="5">
        <f>10^(HE_Coeff!$B$4+HE_Coeff!$C$4*LOG(HeatExchanger!C33)+HE_Coeff!$D$4*(LOG(HeatExchanger!C33)^2))</f>
        <v>3662.6886275878383</v>
      </c>
      <c r="K33" s="10">
        <f t="shared" si="4"/>
        <v>0</v>
      </c>
      <c r="L33" s="7">
        <v>1</v>
      </c>
      <c r="M33" s="7">
        <v>1</v>
      </c>
      <c r="N33" s="9">
        <f t="shared" si="5"/>
        <v>1</v>
      </c>
      <c r="O33" s="5">
        <f t="shared" si="6"/>
        <v>0</v>
      </c>
      <c r="P33" s="5">
        <f t="shared" si="7"/>
        <v>0</v>
      </c>
      <c r="Q33" s="5">
        <f t="shared" si="8"/>
        <v>1</v>
      </c>
      <c r="R33" s="5">
        <f>10^(HE_Coeff!$E$2+HE_Coeff!$F$2*LOG(HeatExchanger!N33)+HE_Coeff!$G$2*(LOG(HeatExchanger!N33)^2))</f>
        <v>0.86101357752663688</v>
      </c>
      <c r="S33" s="5">
        <f>10^(HE_Coeff!$H$2+HE_Coeff!$I$2*LOG(HeatExchanger!N33))</f>
        <v>0.90909652984037714</v>
      </c>
      <c r="T33" s="5">
        <f>1</f>
        <v>1</v>
      </c>
      <c r="U33" s="8">
        <f t="shared" si="9"/>
        <v>1</v>
      </c>
      <c r="V33" s="7" t="s">
        <v>44</v>
      </c>
      <c r="W33" s="7" t="s">
        <v>44</v>
      </c>
      <c r="X33" s="5">
        <f t="shared" si="10"/>
        <v>1</v>
      </c>
      <c r="Y33" s="5">
        <f t="shared" si="11"/>
        <v>0</v>
      </c>
      <c r="Z33" s="5">
        <f t="shared" si="12"/>
        <v>0</v>
      </c>
      <c r="AA33" s="5">
        <f t="shared" si="13"/>
        <v>0</v>
      </c>
      <c r="AB33" s="5">
        <f t="shared" si="15"/>
        <v>0</v>
      </c>
      <c r="AC33" s="8">
        <f t="shared" si="16"/>
        <v>1</v>
      </c>
      <c r="AD33" s="10">
        <f>K33*(HE_Coeff!$K$2+HE_Coeff!$L$2*HeatExchanger!U33*HeatExchanger!AC33)</f>
        <v>0</v>
      </c>
    </row>
    <row r="34" spans="1:30" x14ac:dyDescent="0.15">
      <c r="A34" s="5">
        <f t="shared" si="14"/>
        <v>25</v>
      </c>
      <c r="B34" s="7"/>
      <c r="C34" s="7">
        <v>1</v>
      </c>
      <c r="D34" s="7"/>
      <c r="E34" s="5">
        <f t="shared" si="1"/>
        <v>0</v>
      </c>
      <c r="F34" s="5">
        <f t="shared" si="2"/>
        <v>0</v>
      </c>
      <c r="G34" s="5">
        <f t="shared" si="3"/>
        <v>0</v>
      </c>
      <c r="H34" s="5">
        <f>10^(HE_Coeff!$B$2+HE_Coeff!$C$2*LOG(HeatExchanger!C34)+HE_Coeff!$D$2*(LOG(HeatExchanger!C34)^2))</f>
        <v>1636.0629131014164</v>
      </c>
      <c r="I34" s="5">
        <f>10^(HE_Coeff!$B$3+HE_Coeff!$C$3*LOG(HeatExchanger!C34)+HE_Coeff!$D$3*(LOG(HeatExchanger!C34)^2))</f>
        <v>2715.1885903272678</v>
      </c>
      <c r="J34" s="5">
        <f>10^(HE_Coeff!$B$4+HE_Coeff!$C$4*LOG(HeatExchanger!C34)+HE_Coeff!$D$4*(LOG(HeatExchanger!C34)^2))</f>
        <v>3662.6886275878383</v>
      </c>
      <c r="K34" s="10">
        <f t="shared" si="4"/>
        <v>0</v>
      </c>
      <c r="L34" s="7">
        <v>1</v>
      </c>
      <c r="M34" s="7">
        <v>1</v>
      </c>
      <c r="N34" s="9">
        <f t="shared" si="5"/>
        <v>1</v>
      </c>
      <c r="O34" s="5">
        <f t="shared" si="6"/>
        <v>0</v>
      </c>
      <c r="P34" s="5">
        <f t="shared" si="7"/>
        <v>0</v>
      </c>
      <c r="Q34" s="5">
        <f t="shared" si="8"/>
        <v>1</v>
      </c>
      <c r="R34" s="5">
        <f>10^(HE_Coeff!$E$2+HE_Coeff!$F$2*LOG(HeatExchanger!N34)+HE_Coeff!$G$2*(LOG(HeatExchanger!N34)^2))</f>
        <v>0.86101357752663688</v>
      </c>
      <c r="S34" s="5">
        <f>10^(HE_Coeff!$H$2+HE_Coeff!$I$2*LOG(HeatExchanger!N34))</f>
        <v>0.90909652984037714</v>
      </c>
      <c r="T34" s="5">
        <f>1</f>
        <v>1</v>
      </c>
      <c r="U34" s="8">
        <f t="shared" si="9"/>
        <v>1</v>
      </c>
      <c r="V34" s="7" t="s">
        <v>44</v>
      </c>
      <c r="W34" s="7" t="s">
        <v>44</v>
      </c>
      <c r="X34" s="5">
        <f t="shared" si="10"/>
        <v>1</v>
      </c>
      <c r="Y34" s="5">
        <f t="shared" si="11"/>
        <v>0</v>
      </c>
      <c r="Z34" s="5">
        <f t="shared" si="12"/>
        <v>0</v>
      </c>
      <c r="AA34" s="5">
        <f t="shared" si="13"/>
        <v>0</v>
      </c>
      <c r="AB34" s="5">
        <f t="shared" si="15"/>
        <v>0</v>
      </c>
      <c r="AC34" s="8">
        <f t="shared" si="16"/>
        <v>1</v>
      </c>
      <c r="AD34" s="10">
        <f>K34*(HE_Coeff!$K$2+HE_Coeff!$L$2*HeatExchanger!U34*HeatExchanger!AC34)</f>
        <v>0</v>
      </c>
    </row>
    <row r="35" spans="1:30" x14ac:dyDescent="0.15">
      <c r="A35" s="5">
        <f t="shared" si="14"/>
        <v>26</v>
      </c>
      <c r="B35" s="7"/>
      <c r="C35" s="7">
        <v>1</v>
      </c>
      <c r="D35" s="7"/>
      <c r="E35" s="5">
        <f t="shared" si="1"/>
        <v>0</v>
      </c>
      <c r="F35" s="5">
        <f t="shared" si="2"/>
        <v>0</v>
      </c>
      <c r="G35" s="5">
        <f t="shared" si="3"/>
        <v>0</v>
      </c>
      <c r="H35" s="5">
        <f>10^(HE_Coeff!$B$2+HE_Coeff!$C$2*LOG(HeatExchanger!C35)+HE_Coeff!$D$2*(LOG(HeatExchanger!C35)^2))</f>
        <v>1636.0629131014164</v>
      </c>
      <c r="I35" s="5">
        <f>10^(HE_Coeff!$B$3+HE_Coeff!$C$3*LOG(HeatExchanger!C35)+HE_Coeff!$D$3*(LOG(HeatExchanger!C35)^2))</f>
        <v>2715.1885903272678</v>
      </c>
      <c r="J35" s="5">
        <f>10^(HE_Coeff!$B$4+HE_Coeff!$C$4*LOG(HeatExchanger!C35)+HE_Coeff!$D$4*(LOG(HeatExchanger!C35)^2))</f>
        <v>3662.6886275878383</v>
      </c>
      <c r="K35" s="10">
        <f t="shared" si="4"/>
        <v>0</v>
      </c>
      <c r="L35" s="7">
        <v>1</v>
      </c>
      <c r="M35" s="7">
        <v>1</v>
      </c>
      <c r="N35" s="9">
        <f t="shared" si="5"/>
        <v>1</v>
      </c>
      <c r="O35" s="5">
        <f t="shared" si="6"/>
        <v>0</v>
      </c>
      <c r="P35" s="5">
        <f t="shared" si="7"/>
        <v>0</v>
      </c>
      <c r="Q35" s="5">
        <f t="shared" si="8"/>
        <v>1</v>
      </c>
      <c r="R35" s="5">
        <f>10^(HE_Coeff!$E$2+HE_Coeff!$F$2*LOG(HeatExchanger!N35)+HE_Coeff!$G$2*(LOG(HeatExchanger!N35)^2))</f>
        <v>0.86101357752663688</v>
      </c>
      <c r="S35" s="5">
        <f>10^(HE_Coeff!$H$2+HE_Coeff!$I$2*LOG(HeatExchanger!N35))</f>
        <v>0.90909652984037714</v>
      </c>
      <c r="T35" s="5">
        <f>1</f>
        <v>1</v>
      </c>
      <c r="U35" s="8">
        <f t="shared" si="9"/>
        <v>1</v>
      </c>
      <c r="V35" s="7" t="s">
        <v>44</v>
      </c>
      <c r="W35" s="7" t="s">
        <v>44</v>
      </c>
      <c r="X35" s="5">
        <f t="shared" si="10"/>
        <v>1</v>
      </c>
      <c r="Y35" s="5">
        <f t="shared" si="11"/>
        <v>0</v>
      </c>
      <c r="Z35" s="5">
        <f t="shared" si="12"/>
        <v>0</v>
      </c>
      <c r="AA35" s="5">
        <f t="shared" si="13"/>
        <v>0</v>
      </c>
      <c r="AB35" s="5">
        <f t="shared" si="15"/>
        <v>0</v>
      </c>
      <c r="AC35" s="8">
        <f t="shared" si="16"/>
        <v>1</v>
      </c>
      <c r="AD35" s="10">
        <f>K35*(HE_Coeff!$K$2+HE_Coeff!$L$2*HeatExchanger!U35*HeatExchanger!AC35)</f>
        <v>0</v>
      </c>
    </row>
    <row r="36" spans="1:30" x14ac:dyDescent="0.15">
      <c r="A36" s="5">
        <f t="shared" si="14"/>
        <v>27</v>
      </c>
      <c r="B36" s="7"/>
      <c r="C36" s="7">
        <v>1</v>
      </c>
      <c r="D36" s="7"/>
      <c r="E36" s="5">
        <f t="shared" si="1"/>
        <v>0</v>
      </c>
      <c r="F36" s="5">
        <f t="shared" si="2"/>
        <v>0</v>
      </c>
      <c r="G36" s="5">
        <f t="shared" si="3"/>
        <v>0</v>
      </c>
      <c r="H36" s="5">
        <f>10^(HE_Coeff!$B$2+HE_Coeff!$C$2*LOG(HeatExchanger!C36)+HE_Coeff!$D$2*(LOG(HeatExchanger!C36)^2))</f>
        <v>1636.0629131014164</v>
      </c>
      <c r="I36" s="5">
        <f>10^(HE_Coeff!$B$3+HE_Coeff!$C$3*LOG(HeatExchanger!C36)+HE_Coeff!$D$3*(LOG(HeatExchanger!C36)^2))</f>
        <v>2715.1885903272678</v>
      </c>
      <c r="J36" s="5">
        <f>10^(HE_Coeff!$B$4+HE_Coeff!$C$4*LOG(HeatExchanger!C36)+HE_Coeff!$D$4*(LOG(HeatExchanger!C36)^2))</f>
        <v>3662.6886275878383</v>
      </c>
      <c r="K36" s="10">
        <f t="shared" si="4"/>
        <v>0</v>
      </c>
      <c r="L36" s="7">
        <v>1</v>
      </c>
      <c r="M36" s="7">
        <v>1</v>
      </c>
      <c r="N36" s="9">
        <f t="shared" si="5"/>
        <v>1</v>
      </c>
      <c r="O36" s="5">
        <f t="shared" si="6"/>
        <v>0</v>
      </c>
      <c r="P36" s="5">
        <f t="shared" si="7"/>
        <v>0</v>
      </c>
      <c r="Q36" s="5">
        <f t="shared" si="8"/>
        <v>1</v>
      </c>
      <c r="R36" s="5">
        <f>10^(HE_Coeff!$E$2+HE_Coeff!$F$2*LOG(HeatExchanger!N36)+HE_Coeff!$G$2*(LOG(HeatExchanger!N36)^2))</f>
        <v>0.86101357752663688</v>
      </c>
      <c r="S36" s="5">
        <f>10^(HE_Coeff!$H$2+HE_Coeff!$I$2*LOG(HeatExchanger!N36))</f>
        <v>0.90909652984037714</v>
      </c>
      <c r="T36" s="5">
        <f>1</f>
        <v>1</v>
      </c>
      <c r="U36" s="8">
        <f t="shared" si="9"/>
        <v>1</v>
      </c>
      <c r="V36" s="7" t="s">
        <v>44</v>
      </c>
      <c r="W36" s="7" t="s">
        <v>44</v>
      </c>
      <c r="X36" s="5">
        <f t="shared" si="10"/>
        <v>1</v>
      </c>
      <c r="Y36" s="5">
        <f t="shared" si="11"/>
        <v>0</v>
      </c>
      <c r="Z36" s="5">
        <f t="shared" si="12"/>
        <v>0</v>
      </c>
      <c r="AA36" s="5">
        <f t="shared" si="13"/>
        <v>0</v>
      </c>
      <c r="AB36" s="5">
        <f t="shared" si="15"/>
        <v>0</v>
      </c>
      <c r="AC36" s="8">
        <f t="shared" si="16"/>
        <v>1</v>
      </c>
      <c r="AD36" s="10">
        <f>K36*(HE_Coeff!$K$2+HE_Coeff!$L$2*HeatExchanger!U36*HeatExchanger!AC36)</f>
        <v>0</v>
      </c>
    </row>
    <row r="37" spans="1:30" x14ac:dyDescent="0.15">
      <c r="A37" s="5">
        <f t="shared" si="14"/>
        <v>28</v>
      </c>
      <c r="B37" s="7"/>
      <c r="C37" s="7">
        <v>1</v>
      </c>
      <c r="D37" s="7"/>
      <c r="E37" s="5">
        <f t="shared" si="1"/>
        <v>0</v>
      </c>
      <c r="F37" s="5">
        <f t="shared" si="2"/>
        <v>0</v>
      </c>
      <c r="G37" s="5">
        <f t="shared" si="3"/>
        <v>0</v>
      </c>
      <c r="H37" s="5">
        <f>10^(HE_Coeff!$B$2+HE_Coeff!$C$2*LOG(HeatExchanger!C37)+HE_Coeff!$D$2*(LOG(HeatExchanger!C37)^2))</f>
        <v>1636.0629131014164</v>
      </c>
      <c r="I37" s="5">
        <f>10^(HE_Coeff!$B$3+HE_Coeff!$C$3*LOG(HeatExchanger!C37)+HE_Coeff!$D$3*(LOG(HeatExchanger!C37)^2))</f>
        <v>2715.1885903272678</v>
      </c>
      <c r="J37" s="5">
        <f>10^(HE_Coeff!$B$4+HE_Coeff!$C$4*LOG(HeatExchanger!C37)+HE_Coeff!$D$4*(LOG(HeatExchanger!C37)^2))</f>
        <v>3662.6886275878383</v>
      </c>
      <c r="K37" s="10">
        <f t="shared" si="4"/>
        <v>0</v>
      </c>
      <c r="L37" s="7">
        <v>1</v>
      </c>
      <c r="M37" s="7">
        <v>1</v>
      </c>
      <c r="N37" s="9">
        <f t="shared" si="5"/>
        <v>1</v>
      </c>
      <c r="O37" s="5">
        <f t="shared" si="6"/>
        <v>0</v>
      </c>
      <c r="P37" s="5">
        <f t="shared" si="7"/>
        <v>0</v>
      </c>
      <c r="Q37" s="5">
        <f t="shared" si="8"/>
        <v>1</v>
      </c>
      <c r="R37" s="5">
        <f>10^(HE_Coeff!$E$2+HE_Coeff!$F$2*LOG(HeatExchanger!N37)+HE_Coeff!$G$2*(LOG(HeatExchanger!N37)^2))</f>
        <v>0.86101357752663688</v>
      </c>
      <c r="S37" s="5">
        <f>10^(HE_Coeff!$H$2+HE_Coeff!$I$2*LOG(HeatExchanger!N37))</f>
        <v>0.90909652984037714</v>
      </c>
      <c r="T37" s="5">
        <f>1</f>
        <v>1</v>
      </c>
      <c r="U37" s="8">
        <f t="shared" si="9"/>
        <v>1</v>
      </c>
      <c r="V37" s="7" t="s">
        <v>44</v>
      </c>
      <c r="W37" s="7" t="s">
        <v>44</v>
      </c>
      <c r="X37" s="5">
        <f t="shared" si="10"/>
        <v>1</v>
      </c>
      <c r="Y37" s="5">
        <f t="shared" si="11"/>
        <v>0</v>
      </c>
      <c r="Z37" s="5">
        <f t="shared" si="12"/>
        <v>0</v>
      </c>
      <c r="AA37" s="5">
        <f t="shared" si="13"/>
        <v>0</v>
      </c>
      <c r="AB37" s="5">
        <f t="shared" si="15"/>
        <v>0</v>
      </c>
      <c r="AC37" s="8">
        <f t="shared" si="16"/>
        <v>1</v>
      </c>
      <c r="AD37" s="10">
        <f>K37*(HE_Coeff!$K$2+HE_Coeff!$L$2*HeatExchanger!U37*HeatExchanger!AC37)</f>
        <v>0</v>
      </c>
    </row>
    <row r="38" spans="1:30" x14ac:dyDescent="0.15">
      <c r="A38" s="5">
        <f t="shared" si="14"/>
        <v>29</v>
      </c>
      <c r="B38" s="7"/>
      <c r="C38" s="7">
        <v>1</v>
      </c>
      <c r="D38" s="7"/>
      <c r="E38" s="5">
        <f t="shared" si="1"/>
        <v>0</v>
      </c>
      <c r="F38" s="5">
        <f t="shared" si="2"/>
        <v>0</v>
      </c>
      <c r="G38" s="5">
        <f t="shared" si="3"/>
        <v>0</v>
      </c>
      <c r="H38" s="5">
        <f>10^(HE_Coeff!$B$2+HE_Coeff!$C$2*LOG(HeatExchanger!C38)+HE_Coeff!$D$2*(LOG(HeatExchanger!C38)^2))</f>
        <v>1636.0629131014164</v>
      </c>
      <c r="I38" s="5">
        <f>10^(HE_Coeff!$B$3+HE_Coeff!$C$3*LOG(HeatExchanger!C38)+HE_Coeff!$D$3*(LOG(HeatExchanger!C38)^2))</f>
        <v>2715.1885903272678</v>
      </c>
      <c r="J38" s="5">
        <f>10^(HE_Coeff!$B$4+HE_Coeff!$C$4*LOG(HeatExchanger!C38)+HE_Coeff!$D$4*(LOG(HeatExchanger!C38)^2))</f>
        <v>3662.6886275878383</v>
      </c>
      <c r="K38" s="10">
        <f t="shared" si="4"/>
        <v>0</v>
      </c>
      <c r="L38" s="7">
        <v>1</v>
      </c>
      <c r="M38" s="7">
        <v>1</v>
      </c>
      <c r="N38" s="9">
        <f t="shared" si="5"/>
        <v>1</v>
      </c>
      <c r="O38" s="5">
        <f t="shared" si="6"/>
        <v>0</v>
      </c>
      <c r="P38" s="5">
        <f t="shared" si="7"/>
        <v>0</v>
      </c>
      <c r="Q38" s="5">
        <f t="shared" si="8"/>
        <v>1</v>
      </c>
      <c r="R38" s="5">
        <f>10^(HE_Coeff!$E$2+HE_Coeff!$F$2*LOG(HeatExchanger!N38)+HE_Coeff!$G$2*(LOG(HeatExchanger!N38)^2))</f>
        <v>0.86101357752663688</v>
      </c>
      <c r="S38" s="5">
        <f>10^(HE_Coeff!$H$2+HE_Coeff!$I$2*LOG(HeatExchanger!N38))</f>
        <v>0.90909652984037714</v>
      </c>
      <c r="T38" s="5">
        <f>1</f>
        <v>1</v>
      </c>
      <c r="U38" s="8">
        <f t="shared" si="9"/>
        <v>1</v>
      </c>
      <c r="V38" s="7" t="s">
        <v>44</v>
      </c>
      <c r="W38" s="7" t="s">
        <v>44</v>
      </c>
      <c r="X38" s="5">
        <f t="shared" si="10"/>
        <v>1</v>
      </c>
      <c r="Y38" s="5">
        <f t="shared" si="11"/>
        <v>0</v>
      </c>
      <c r="Z38" s="5">
        <f t="shared" si="12"/>
        <v>0</v>
      </c>
      <c r="AA38" s="5">
        <f t="shared" si="13"/>
        <v>0</v>
      </c>
      <c r="AB38" s="5">
        <f t="shared" si="15"/>
        <v>0</v>
      </c>
      <c r="AC38" s="8">
        <f t="shared" si="16"/>
        <v>1</v>
      </c>
      <c r="AD38" s="10">
        <f>K38*(HE_Coeff!$K$2+HE_Coeff!$L$2*HeatExchanger!U38*HeatExchanger!AC38)</f>
        <v>0</v>
      </c>
    </row>
    <row r="39" spans="1:30" x14ac:dyDescent="0.15">
      <c r="A39" s="5">
        <f t="shared" si="14"/>
        <v>30</v>
      </c>
      <c r="B39" s="7"/>
      <c r="C39" s="7">
        <v>1</v>
      </c>
      <c r="D39" s="7"/>
      <c r="E39" s="5">
        <f t="shared" si="1"/>
        <v>0</v>
      </c>
      <c r="F39" s="5">
        <f t="shared" si="2"/>
        <v>0</v>
      </c>
      <c r="G39" s="5">
        <f t="shared" si="3"/>
        <v>0</v>
      </c>
      <c r="H39" s="5">
        <f>10^(HE_Coeff!$B$2+HE_Coeff!$C$2*LOG(HeatExchanger!C39)+HE_Coeff!$D$2*(LOG(HeatExchanger!C39)^2))</f>
        <v>1636.0629131014164</v>
      </c>
      <c r="I39" s="5">
        <f>10^(HE_Coeff!$B$3+HE_Coeff!$C$3*LOG(HeatExchanger!C39)+HE_Coeff!$D$3*(LOG(HeatExchanger!C39)^2))</f>
        <v>2715.1885903272678</v>
      </c>
      <c r="J39" s="5">
        <f>10^(HE_Coeff!$B$4+HE_Coeff!$C$4*LOG(HeatExchanger!C39)+HE_Coeff!$D$4*(LOG(HeatExchanger!C39)^2))</f>
        <v>3662.6886275878383</v>
      </c>
      <c r="K39" s="10">
        <f t="shared" si="4"/>
        <v>0</v>
      </c>
      <c r="L39" s="7">
        <v>1</v>
      </c>
      <c r="M39" s="7">
        <v>1</v>
      </c>
      <c r="N39" s="9">
        <f t="shared" si="5"/>
        <v>1</v>
      </c>
      <c r="O39" s="5">
        <f t="shared" si="6"/>
        <v>0</v>
      </c>
      <c r="P39" s="5">
        <f t="shared" si="7"/>
        <v>0</v>
      </c>
      <c r="Q39" s="5">
        <f t="shared" si="8"/>
        <v>1</v>
      </c>
      <c r="R39" s="5">
        <f>10^(HE_Coeff!$E$2+HE_Coeff!$F$2*LOG(HeatExchanger!N39)+HE_Coeff!$G$2*(LOG(HeatExchanger!N39)^2))</f>
        <v>0.86101357752663688</v>
      </c>
      <c r="S39" s="5">
        <f>10^(HE_Coeff!$H$2+HE_Coeff!$I$2*LOG(HeatExchanger!N39))</f>
        <v>0.90909652984037714</v>
      </c>
      <c r="T39" s="5">
        <f>1</f>
        <v>1</v>
      </c>
      <c r="U39" s="8">
        <f t="shared" si="9"/>
        <v>1</v>
      </c>
      <c r="V39" s="7" t="s">
        <v>44</v>
      </c>
      <c r="W39" s="7" t="s">
        <v>44</v>
      </c>
      <c r="X39" s="5">
        <f t="shared" si="10"/>
        <v>1</v>
      </c>
      <c r="Y39" s="5">
        <f t="shared" si="11"/>
        <v>0</v>
      </c>
      <c r="Z39" s="5">
        <f t="shared" si="12"/>
        <v>0</v>
      </c>
      <c r="AA39" s="5">
        <f t="shared" si="13"/>
        <v>0</v>
      </c>
      <c r="AB39" s="5">
        <f t="shared" si="15"/>
        <v>0</v>
      </c>
      <c r="AC39" s="8">
        <f t="shared" si="16"/>
        <v>1</v>
      </c>
      <c r="AD39" s="10">
        <f>K39*(HE_Coeff!$K$2+HE_Coeff!$L$2*HeatExchanger!U39*HeatExchanger!AC39)</f>
        <v>0</v>
      </c>
    </row>
    <row r="40" spans="1:30" x14ac:dyDescent="0.15">
      <c r="A40" s="5">
        <f t="shared" si="14"/>
        <v>31</v>
      </c>
      <c r="B40" s="7"/>
      <c r="C40" s="7">
        <v>1</v>
      </c>
      <c r="D40" s="7"/>
      <c r="E40" s="5">
        <f t="shared" si="1"/>
        <v>0</v>
      </c>
      <c r="F40" s="5">
        <f t="shared" si="2"/>
        <v>0</v>
      </c>
      <c r="G40" s="5">
        <f t="shared" si="3"/>
        <v>0</v>
      </c>
      <c r="H40" s="5">
        <f>10^(HE_Coeff!$B$2+HE_Coeff!$C$2*LOG(HeatExchanger!C40)+HE_Coeff!$D$2*(LOG(HeatExchanger!C40)^2))</f>
        <v>1636.0629131014164</v>
      </c>
      <c r="I40" s="5">
        <f>10^(HE_Coeff!$B$3+HE_Coeff!$C$3*LOG(HeatExchanger!C40)+HE_Coeff!$D$3*(LOG(HeatExchanger!C40)^2))</f>
        <v>2715.1885903272678</v>
      </c>
      <c r="J40" s="5">
        <f>10^(HE_Coeff!$B$4+HE_Coeff!$C$4*LOG(HeatExchanger!C40)+HE_Coeff!$D$4*(LOG(HeatExchanger!C40)^2))</f>
        <v>3662.6886275878383</v>
      </c>
      <c r="K40" s="10">
        <f t="shared" si="4"/>
        <v>0</v>
      </c>
      <c r="L40" s="7">
        <v>1</v>
      </c>
      <c r="M40" s="7">
        <v>1</v>
      </c>
      <c r="N40" s="9">
        <f t="shared" si="5"/>
        <v>1</v>
      </c>
      <c r="O40" s="5">
        <f t="shared" si="6"/>
        <v>0</v>
      </c>
      <c r="P40" s="5">
        <f t="shared" si="7"/>
        <v>0</v>
      </c>
      <c r="Q40" s="5">
        <f t="shared" si="8"/>
        <v>1</v>
      </c>
      <c r="R40" s="5">
        <f>10^(HE_Coeff!$E$2+HE_Coeff!$F$2*LOG(HeatExchanger!N40)+HE_Coeff!$G$2*(LOG(HeatExchanger!N40)^2))</f>
        <v>0.86101357752663688</v>
      </c>
      <c r="S40" s="5">
        <f>10^(HE_Coeff!$H$2+HE_Coeff!$I$2*LOG(HeatExchanger!N40))</f>
        <v>0.90909652984037714</v>
      </c>
      <c r="T40" s="5">
        <f>1</f>
        <v>1</v>
      </c>
      <c r="U40" s="8">
        <f t="shared" si="9"/>
        <v>1</v>
      </c>
      <c r="V40" s="7" t="s">
        <v>44</v>
      </c>
      <c r="W40" s="7" t="s">
        <v>44</v>
      </c>
      <c r="X40" s="5">
        <f t="shared" si="10"/>
        <v>1</v>
      </c>
      <c r="Y40" s="5">
        <f t="shared" si="11"/>
        <v>0</v>
      </c>
      <c r="Z40" s="5">
        <f t="shared" si="12"/>
        <v>0</v>
      </c>
      <c r="AA40" s="5">
        <f t="shared" si="13"/>
        <v>0</v>
      </c>
      <c r="AB40" s="5">
        <f t="shared" si="15"/>
        <v>0</v>
      </c>
      <c r="AC40" s="8">
        <f t="shared" si="16"/>
        <v>1</v>
      </c>
      <c r="AD40" s="10">
        <f>K40*(HE_Coeff!$K$2+HE_Coeff!$L$2*HeatExchanger!U40*HeatExchanger!AC40)</f>
        <v>0</v>
      </c>
    </row>
    <row r="41" spans="1:30" x14ac:dyDescent="0.15">
      <c r="A41" s="5">
        <f t="shared" si="14"/>
        <v>32</v>
      </c>
      <c r="B41" s="7"/>
      <c r="C41" s="7">
        <v>1</v>
      </c>
      <c r="D41" s="7"/>
      <c r="E41" s="5">
        <f t="shared" si="1"/>
        <v>0</v>
      </c>
      <c r="F41" s="5">
        <f t="shared" si="2"/>
        <v>0</v>
      </c>
      <c r="G41" s="5">
        <f t="shared" si="3"/>
        <v>0</v>
      </c>
      <c r="H41" s="5">
        <f>10^(HE_Coeff!$B$2+HE_Coeff!$C$2*LOG(HeatExchanger!C41)+HE_Coeff!$D$2*(LOG(HeatExchanger!C41)^2))</f>
        <v>1636.0629131014164</v>
      </c>
      <c r="I41" s="5">
        <f>10^(HE_Coeff!$B$3+HE_Coeff!$C$3*LOG(HeatExchanger!C41)+HE_Coeff!$D$3*(LOG(HeatExchanger!C41)^2))</f>
        <v>2715.1885903272678</v>
      </c>
      <c r="J41" s="5">
        <f>10^(HE_Coeff!$B$4+HE_Coeff!$C$4*LOG(HeatExchanger!C41)+HE_Coeff!$D$4*(LOG(HeatExchanger!C41)^2))</f>
        <v>3662.6886275878383</v>
      </c>
      <c r="K41" s="10">
        <f t="shared" si="4"/>
        <v>0</v>
      </c>
      <c r="L41" s="7">
        <v>1</v>
      </c>
      <c r="M41" s="7">
        <v>1</v>
      </c>
      <c r="N41" s="9">
        <f t="shared" si="5"/>
        <v>1</v>
      </c>
      <c r="O41" s="5">
        <f t="shared" si="6"/>
        <v>0</v>
      </c>
      <c r="P41" s="5">
        <f t="shared" si="7"/>
        <v>0</v>
      </c>
      <c r="Q41" s="5">
        <f t="shared" si="8"/>
        <v>1</v>
      </c>
      <c r="R41" s="5">
        <f>10^(HE_Coeff!$E$2+HE_Coeff!$F$2*LOG(HeatExchanger!N41)+HE_Coeff!$G$2*(LOG(HeatExchanger!N41)^2))</f>
        <v>0.86101357752663688</v>
      </c>
      <c r="S41" s="5">
        <f>10^(HE_Coeff!$H$2+HE_Coeff!$I$2*LOG(HeatExchanger!N41))</f>
        <v>0.90909652984037714</v>
      </c>
      <c r="T41" s="5">
        <f>1</f>
        <v>1</v>
      </c>
      <c r="U41" s="8">
        <f t="shared" si="9"/>
        <v>1</v>
      </c>
      <c r="V41" s="7" t="s">
        <v>44</v>
      </c>
      <c r="W41" s="7" t="s">
        <v>44</v>
      </c>
      <c r="X41" s="5">
        <f t="shared" si="10"/>
        <v>1</v>
      </c>
      <c r="Y41" s="5">
        <f t="shared" si="11"/>
        <v>0</v>
      </c>
      <c r="Z41" s="5">
        <f t="shared" si="12"/>
        <v>0</v>
      </c>
      <c r="AA41" s="5">
        <f t="shared" si="13"/>
        <v>0</v>
      </c>
      <c r="AB41" s="5">
        <f t="shared" si="15"/>
        <v>0</v>
      </c>
      <c r="AC41" s="8">
        <f t="shared" si="16"/>
        <v>1</v>
      </c>
      <c r="AD41" s="10">
        <f>K41*(HE_Coeff!$K$2+HE_Coeff!$L$2*HeatExchanger!U41*HeatExchanger!AC41)</f>
        <v>0</v>
      </c>
    </row>
    <row r="42" spans="1:30" x14ac:dyDescent="0.15">
      <c r="A42" s="5">
        <f t="shared" si="14"/>
        <v>33</v>
      </c>
      <c r="B42" s="7"/>
      <c r="C42" s="7">
        <v>1</v>
      </c>
      <c r="D42" s="7"/>
      <c r="E42" s="5">
        <f t="shared" si="1"/>
        <v>0</v>
      </c>
      <c r="F42" s="5">
        <f t="shared" si="2"/>
        <v>0</v>
      </c>
      <c r="G42" s="5">
        <f t="shared" si="3"/>
        <v>0</v>
      </c>
      <c r="H42" s="5">
        <f>10^(HE_Coeff!$B$2+HE_Coeff!$C$2*LOG(HeatExchanger!C42)+HE_Coeff!$D$2*(LOG(HeatExchanger!C42)^2))</f>
        <v>1636.0629131014164</v>
      </c>
      <c r="I42" s="5">
        <f>10^(HE_Coeff!$B$3+HE_Coeff!$C$3*LOG(HeatExchanger!C42)+HE_Coeff!$D$3*(LOG(HeatExchanger!C42)^2))</f>
        <v>2715.1885903272678</v>
      </c>
      <c r="J42" s="5">
        <f>10^(HE_Coeff!$B$4+HE_Coeff!$C$4*LOG(HeatExchanger!C42)+HE_Coeff!$D$4*(LOG(HeatExchanger!C42)^2))</f>
        <v>3662.6886275878383</v>
      </c>
      <c r="K42" s="10">
        <f t="shared" si="4"/>
        <v>0</v>
      </c>
      <c r="L42" s="7">
        <v>1</v>
      </c>
      <c r="M42" s="7">
        <v>1</v>
      </c>
      <c r="N42" s="9">
        <f t="shared" si="5"/>
        <v>1</v>
      </c>
      <c r="O42" s="5">
        <f t="shared" si="6"/>
        <v>0</v>
      </c>
      <c r="P42" s="5">
        <f t="shared" si="7"/>
        <v>0</v>
      </c>
      <c r="Q42" s="5">
        <f t="shared" si="8"/>
        <v>1</v>
      </c>
      <c r="R42" s="5">
        <f>10^(HE_Coeff!$E$2+HE_Coeff!$F$2*LOG(HeatExchanger!N42)+HE_Coeff!$G$2*(LOG(HeatExchanger!N42)^2))</f>
        <v>0.86101357752663688</v>
      </c>
      <c r="S42" s="5">
        <f>10^(HE_Coeff!$H$2+HE_Coeff!$I$2*LOG(HeatExchanger!N42))</f>
        <v>0.90909652984037714</v>
      </c>
      <c r="T42" s="5">
        <f>1</f>
        <v>1</v>
      </c>
      <c r="U42" s="8">
        <f t="shared" si="9"/>
        <v>1</v>
      </c>
      <c r="V42" s="7" t="s">
        <v>44</v>
      </c>
      <c r="W42" s="7" t="s">
        <v>44</v>
      </c>
      <c r="X42" s="5">
        <f t="shared" si="10"/>
        <v>1</v>
      </c>
      <c r="Y42" s="5">
        <f t="shared" si="11"/>
        <v>0</v>
      </c>
      <c r="Z42" s="5">
        <f t="shared" si="12"/>
        <v>0</v>
      </c>
      <c r="AA42" s="5">
        <f t="shared" si="13"/>
        <v>0</v>
      </c>
      <c r="AB42" s="5">
        <f t="shared" si="15"/>
        <v>0</v>
      </c>
      <c r="AC42" s="8">
        <f t="shared" si="16"/>
        <v>1</v>
      </c>
      <c r="AD42" s="10">
        <f>K42*(HE_Coeff!$K$2+HE_Coeff!$L$2*HeatExchanger!U42*HeatExchanger!AC42)</f>
        <v>0</v>
      </c>
    </row>
    <row r="43" spans="1:30" x14ac:dyDescent="0.15">
      <c r="A43" s="5">
        <f t="shared" si="14"/>
        <v>34</v>
      </c>
      <c r="B43" s="7"/>
      <c r="C43" s="7">
        <v>1</v>
      </c>
      <c r="D43" s="7"/>
      <c r="E43" s="5">
        <f t="shared" si="1"/>
        <v>0</v>
      </c>
      <c r="F43" s="5">
        <f t="shared" si="2"/>
        <v>0</v>
      </c>
      <c r="G43" s="5">
        <f t="shared" si="3"/>
        <v>0</v>
      </c>
      <c r="H43" s="5">
        <f>10^(HE_Coeff!$B$2+HE_Coeff!$C$2*LOG(HeatExchanger!C43)+HE_Coeff!$D$2*(LOG(HeatExchanger!C43)^2))</f>
        <v>1636.0629131014164</v>
      </c>
      <c r="I43" s="5">
        <f>10^(HE_Coeff!$B$3+HE_Coeff!$C$3*LOG(HeatExchanger!C43)+HE_Coeff!$D$3*(LOG(HeatExchanger!C43)^2))</f>
        <v>2715.1885903272678</v>
      </c>
      <c r="J43" s="5">
        <f>10^(HE_Coeff!$B$4+HE_Coeff!$C$4*LOG(HeatExchanger!C43)+HE_Coeff!$D$4*(LOG(HeatExchanger!C43)^2))</f>
        <v>3662.6886275878383</v>
      </c>
      <c r="K43" s="10">
        <f t="shared" si="4"/>
        <v>0</v>
      </c>
      <c r="L43" s="7">
        <v>1</v>
      </c>
      <c r="M43" s="7">
        <v>1</v>
      </c>
      <c r="N43" s="9">
        <f t="shared" si="5"/>
        <v>1</v>
      </c>
      <c r="O43" s="5">
        <f t="shared" si="6"/>
        <v>0</v>
      </c>
      <c r="P43" s="5">
        <f t="shared" si="7"/>
        <v>0</v>
      </c>
      <c r="Q43" s="5">
        <f t="shared" si="8"/>
        <v>1</v>
      </c>
      <c r="R43" s="5">
        <f>10^(HE_Coeff!$E$2+HE_Coeff!$F$2*LOG(HeatExchanger!N43)+HE_Coeff!$G$2*(LOG(HeatExchanger!N43)^2))</f>
        <v>0.86101357752663688</v>
      </c>
      <c r="S43" s="5">
        <f>10^(HE_Coeff!$H$2+HE_Coeff!$I$2*LOG(HeatExchanger!N43))</f>
        <v>0.90909652984037714</v>
      </c>
      <c r="T43" s="5">
        <f>1</f>
        <v>1</v>
      </c>
      <c r="U43" s="8">
        <f t="shared" si="9"/>
        <v>1</v>
      </c>
      <c r="V43" s="7" t="s">
        <v>44</v>
      </c>
      <c r="W43" s="7" t="s">
        <v>44</v>
      </c>
      <c r="X43" s="5">
        <f t="shared" si="10"/>
        <v>1</v>
      </c>
      <c r="Y43" s="5">
        <f t="shared" si="11"/>
        <v>0</v>
      </c>
      <c r="Z43" s="5">
        <f t="shared" si="12"/>
        <v>0</v>
      </c>
      <c r="AA43" s="5">
        <f t="shared" si="13"/>
        <v>0</v>
      </c>
      <c r="AB43" s="5">
        <f t="shared" si="15"/>
        <v>0</v>
      </c>
      <c r="AC43" s="8">
        <f t="shared" si="16"/>
        <v>1</v>
      </c>
      <c r="AD43" s="10">
        <f>K43*(HE_Coeff!$K$2+HE_Coeff!$L$2*HeatExchanger!U43*HeatExchanger!AC43)</f>
        <v>0</v>
      </c>
    </row>
    <row r="44" spans="1:30" x14ac:dyDescent="0.15">
      <c r="A44" s="5">
        <f t="shared" si="14"/>
        <v>35</v>
      </c>
      <c r="B44" s="7"/>
      <c r="C44" s="7">
        <v>1</v>
      </c>
      <c r="D44" s="7"/>
      <c r="E44" s="5">
        <f t="shared" si="1"/>
        <v>0</v>
      </c>
      <c r="F44" s="5">
        <f t="shared" si="2"/>
        <v>0</v>
      </c>
      <c r="G44" s="5">
        <f t="shared" si="3"/>
        <v>0</v>
      </c>
      <c r="H44" s="5">
        <f>10^(HE_Coeff!$B$2+HE_Coeff!$C$2*LOG(HeatExchanger!C44)+HE_Coeff!$D$2*(LOG(HeatExchanger!C44)^2))</f>
        <v>1636.0629131014164</v>
      </c>
      <c r="I44" s="5">
        <f>10^(HE_Coeff!$B$3+HE_Coeff!$C$3*LOG(HeatExchanger!C44)+HE_Coeff!$D$3*(LOG(HeatExchanger!C44)^2))</f>
        <v>2715.1885903272678</v>
      </c>
      <c r="J44" s="5">
        <f>10^(HE_Coeff!$B$4+HE_Coeff!$C$4*LOG(HeatExchanger!C44)+HE_Coeff!$D$4*(LOG(HeatExchanger!C44)^2))</f>
        <v>3662.6886275878383</v>
      </c>
      <c r="K44" s="10">
        <f t="shared" si="4"/>
        <v>0</v>
      </c>
      <c r="L44" s="7">
        <v>1</v>
      </c>
      <c r="M44" s="7">
        <v>1</v>
      </c>
      <c r="N44" s="9">
        <f t="shared" si="5"/>
        <v>1</v>
      </c>
      <c r="O44" s="5">
        <f t="shared" si="6"/>
        <v>0</v>
      </c>
      <c r="P44" s="5">
        <f t="shared" si="7"/>
        <v>0</v>
      </c>
      <c r="Q44" s="5">
        <f t="shared" si="8"/>
        <v>1</v>
      </c>
      <c r="R44" s="5">
        <f>10^(HE_Coeff!$E$2+HE_Coeff!$F$2*LOG(HeatExchanger!N44)+HE_Coeff!$G$2*(LOG(HeatExchanger!N44)^2))</f>
        <v>0.86101357752663688</v>
      </c>
      <c r="S44" s="5">
        <f>10^(HE_Coeff!$H$2+HE_Coeff!$I$2*LOG(HeatExchanger!N44))</f>
        <v>0.90909652984037714</v>
      </c>
      <c r="T44" s="5">
        <f>1</f>
        <v>1</v>
      </c>
      <c r="U44" s="8">
        <f t="shared" si="9"/>
        <v>1</v>
      </c>
      <c r="V44" s="7" t="s">
        <v>44</v>
      </c>
      <c r="W44" s="7" t="s">
        <v>44</v>
      </c>
      <c r="X44" s="5">
        <f t="shared" si="10"/>
        <v>1</v>
      </c>
      <c r="Y44" s="5">
        <f t="shared" si="11"/>
        <v>0</v>
      </c>
      <c r="Z44" s="5">
        <f t="shared" si="12"/>
        <v>0</v>
      </c>
      <c r="AA44" s="5">
        <f t="shared" si="13"/>
        <v>0</v>
      </c>
      <c r="AB44" s="5">
        <f t="shared" si="15"/>
        <v>0</v>
      </c>
      <c r="AC44" s="8">
        <f t="shared" si="16"/>
        <v>1</v>
      </c>
      <c r="AD44" s="10">
        <f>K44*(HE_Coeff!$K$2+HE_Coeff!$L$2*HeatExchanger!U44*HeatExchanger!AC44)</f>
        <v>0</v>
      </c>
    </row>
    <row r="45" spans="1:30" x14ac:dyDescent="0.15">
      <c r="A45" s="5">
        <f t="shared" si="14"/>
        <v>36</v>
      </c>
      <c r="B45" s="7"/>
      <c r="C45" s="7">
        <v>1</v>
      </c>
      <c r="D45" s="7"/>
      <c r="E45" s="5">
        <f t="shared" si="1"/>
        <v>0</v>
      </c>
      <c r="F45" s="5">
        <f t="shared" si="2"/>
        <v>0</v>
      </c>
      <c r="G45" s="5">
        <f t="shared" si="3"/>
        <v>0</v>
      </c>
      <c r="H45" s="5">
        <f>10^(HE_Coeff!$B$2+HE_Coeff!$C$2*LOG(HeatExchanger!C45)+HE_Coeff!$D$2*(LOG(HeatExchanger!C45)^2))</f>
        <v>1636.0629131014164</v>
      </c>
      <c r="I45" s="5">
        <f>10^(HE_Coeff!$B$3+HE_Coeff!$C$3*LOG(HeatExchanger!C45)+HE_Coeff!$D$3*(LOG(HeatExchanger!C45)^2))</f>
        <v>2715.1885903272678</v>
      </c>
      <c r="J45" s="5">
        <f>10^(HE_Coeff!$B$4+HE_Coeff!$C$4*LOG(HeatExchanger!C45)+HE_Coeff!$D$4*(LOG(HeatExchanger!C45)^2))</f>
        <v>3662.6886275878383</v>
      </c>
      <c r="K45" s="10">
        <f t="shared" si="4"/>
        <v>0</v>
      </c>
      <c r="L45" s="7">
        <v>1</v>
      </c>
      <c r="M45" s="7">
        <v>1</v>
      </c>
      <c r="N45" s="9">
        <f t="shared" si="5"/>
        <v>1</v>
      </c>
      <c r="O45" s="5">
        <f t="shared" si="6"/>
        <v>0</v>
      </c>
      <c r="P45" s="5">
        <f t="shared" si="7"/>
        <v>0</v>
      </c>
      <c r="Q45" s="5">
        <f t="shared" si="8"/>
        <v>1</v>
      </c>
      <c r="R45" s="5">
        <f>10^(HE_Coeff!$E$2+HE_Coeff!$F$2*LOG(HeatExchanger!N45)+HE_Coeff!$G$2*(LOG(HeatExchanger!N45)^2))</f>
        <v>0.86101357752663688</v>
      </c>
      <c r="S45" s="5">
        <f>10^(HE_Coeff!$H$2+HE_Coeff!$I$2*LOG(HeatExchanger!N45))</f>
        <v>0.90909652984037714</v>
      </c>
      <c r="T45" s="5">
        <f>1</f>
        <v>1</v>
      </c>
      <c r="U45" s="8">
        <f t="shared" si="9"/>
        <v>1</v>
      </c>
      <c r="V45" s="7" t="s">
        <v>44</v>
      </c>
      <c r="W45" s="7" t="s">
        <v>44</v>
      </c>
      <c r="X45" s="5">
        <f t="shared" si="10"/>
        <v>1</v>
      </c>
      <c r="Y45" s="5">
        <f t="shared" si="11"/>
        <v>0</v>
      </c>
      <c r="Z45" s="5">
        <f t="shared" si="12"/>
        <v>0</v>
      </c>
      <c r="AA45" s="5">
        <f t="shared" si="13"/>
        <v>0</v>
      </c>
      <c r="AB45" s="5">
        <f t="shared" si="15"/>
        <v>0</v>
      </c>
      <c r="AC45" s="8">
        <f t="shared" si="16"/>
        <v>1</v>
      </c>
      <c r="AD45" s="10">
        <f>K45*(HE_Coeff!$K$2+HE_Coeff!$L$2*HeatExchanger!U45*HeatExchanger!AC45)</f>
        <v>0</v>
      </c>
    </row>
    <row r="46" spans="1:30" x14ac:dyDescent="0.15">
      <c r="A46" s="5">
        <f t="shared" si="14"/>
        <v>37</v>
      </c>
      <c r="B46" s="7"/>
      <c r="C46" s="7">
        <v>1</v>
      </c>
      <c r="D46" s="7"/>
      <c r="E46" s="5">
        <f t="shared" si="1"/>
        <v>0</v>
      </c>
      <c r="F46" s="5">
        <f t="shared" si="2"/>
        <v>0</v>
      </c>
      <c r="G46" s="5">
        <f t="shared" si="3"/>
        <v>0</v>
      </c>
      <c r="H46" s="5">
        <f>10^(HE_Coeff!$B$2+HE_Coeff!$C$2*LOG(HeatExchanger!C46)+HE_Coeff!$D$2*(LOG(HeatExchanger!C46)^2))</f>
        <v>1636.0629131014164</v>
      </c>
      <c r="I46" s="5">
        <f>10^(HE_Coeff!$B$3+HE_Coeff!$C$3*LOG(HeatExchanger!C46)+HE_Coeff!$D$3*(LOG(HeatExchanger!C46)^2))</f>
        <v>2715.1885903272678</v>
      </c>
      <c r="J46" s="5">
        <f>10^(HE_Coeff!$B$4+HE_Coeff!$C$4*LOG(HeatExchanger!C46)+HE_Coeff!$D$4*(LOG(HeatExchanger!C46)^2))</f>
        <v>3662.6886275878383</v>
      </c>
      <c r="K46" s="10">
        <f t="shared" si="4"/>
        <v>0</v>
      </c>
      <c r="L46" s="7">
        <v>1</v>
      </c>
      <c r="M46" s="7">
        <v>1</v>
      </c>
      <c r="N46" s="9">
        <f t="shared" si="5"/>
        <v>1</v>
      </c>
      <c r="O46" s="5">
        <f t="shared" si="6"/>
        <v>0</v>
      </c>
      <c r="P46" s="5">
        <f t="shared" si="7"/>
        <v>0</v>
      </c>
      <c r="Q46" s="5">
        <f t="shared" si="8"/>
        <v>1</v>
      </c>
      <c r="R46" s="5">
        <f>10^(HE_Coeff!$E$2+HE_Coeff!$F$2*LOG(HeatExchanger!N46)+HE_Coeff!$G$2*(LOG(HeatExchanger!N46)^2))</f>
        <v>0.86101357752663688</v>
      </c>
      <c r="S46" s="5">
        <f>10^(HE_Coeff!$H$2+HE_Coeff!$I$2*LOG(HeatExchanger!N46))</f>
        <v>0.90909652984037714</v>
      </c>
      <c r="T46" s="5">
        <f>1</f>
        <v>1</v>
      </c>
      <c r="U46" s="8">
        <f t="shared" si="9"/>
        <v>1</v>
      </c>
      <c r="V46" s="7" t="s">
        <v>44</v>
      </c>
      <c r="W46" s="7" t="s">
        <v>44</v>
      </c>
      <c r="X46" s="5">
        <f t="shared" si="10"/>
        <v>1</v>
      </c>
      <c r="Y46" s="5">
        <f t="shared" si="11"/>
        <v>0</v>
      </c>
      <c r="Z46" s="5">
        <f t="shared" si="12"/>
        <v>0</v>
      </c>
      <c r="AA46" s="5">
        <f t="shared" si="13"/>
        <v>0</v>
      </c>
      <c r="AB46" s="5">
        <f t="shared" si="15"/>
        <v>0</v>
      </c>
      <c r="AC46" s="8">
        <f t="shared" si="16"/>
        <v>1</v>
      </c>
      <c r="AD46" s="10">
        <f>K46*(HE_Coeff!$K$2+HE_Coeff!$L$2*HeatExchanger!U46*HeatExchanger!AC46)</f>
        <v>0</v>
      </c>
    </row>
    <row r="47" spans="1:30" x14ac:dyDescent="0.15">
      <c r="A47" s="5">
        <f t="shared" si="14"/>
        <v>38</v>
      </c>
      <c r="B47" s="7"/>
      <c r="C47" s="7">
        <v>1</v>
      </c>
      <c r="D47" s="7"/>
      <c r="E47" s="5">
        <f t="shared" si="1"/>
        <v>0</v>
      </c>
      <c r="F47" s="5">
        <f t="shared" si="2"/>
        <v>0</v>
      </c>
      <c r="G47" s="5">
        <f t="shared" si="3"/>
        <v>0</v>
      </c>
      <c r="H47" s="5">
        <f>10^(HE_Coeff!$B$2+HE_Coeff!$C$2*LOG(HeatExchanger!C47)+HE_Coeff!$D$2*(LOG(HeatExchanger!C47)^2))</f>
        <v>1636.0629131014164</v>
      </c>
      <c r="I47" s="5">
        <f>10^(HE_Coeff!$B$3+HE_Coeff!$C$3*LOG(HeatExchanger!C47)+HE_Coeff!$D$3*(LOG(HeatExchanger!C47)^2))</f>
        <v>2715.1885903272678</v>
      </c>
      <c r="J47" s="5">
        <f>10^(HE_Coeff!$B$4+HE_Coeff!$C$4*LOG(HeatExchanger!C47)+HE_Coeff!$D$4*(LOG(HeatExchanger!C47)^2))</f>
        <v>3662.6886275878383</v>
      </c>
      <c r="K47" s="10">
        <f t="shared" si="4"/>
        <v>0</v>
      </c>
      <c r="L47" s="7">
        <v>1</v>
      </c>
      <c r="M47" s="7">
        <v>1</v>
      </c>
      <c r="N47" s="9">
        <f t="shared" si="5"/>
        <v>1</v>
      </c>
      <c r="O47" s="5">
        <f t="shared" si="6"/>
        <v>0</v>
      </c>
      <c r="P47" s="5">
        <f t="shared" si="7"/>
        <v>0</v>
      </c>
      <c r="Q47" s="5">
        <f t="shared" si="8"/>
        <v>1</v>
      </c>
      <c r="R47" s="5">
        <f>10^(HE_Coeff!$E$2+HE_Coeff!$F$2*LOG(HeatExchanger!N47)+HE_Coeff!$G$2*(LOG(HeatExchanger!N47)^2))</f>
        <v>0.86101357752663688</v>
      </c>
      <c r="S47" s="5">
        <f>10^(HE_Coeff!$H$2+HE_Coeff!$I$2*LOG(HeatExchanger!N47))</f>
        <v>0.90909652984037714</v>
      </c>
      <c r="T47" s="5">
        <f>1</f>
        <v>1</v>
      </c>
      <c r="U47" s="8">
        <f t="shared" si="9"/>
        <v>1</v>
      </c>
      <c r="V47" s="7" t="s">
        <v>44</v>
      </c>
      <c r="W47" s="7" t="s">
        <v>44</v>
      </c>
      <c r="X47" s="5">
        <f t="shared" si="10"/>
        <v>1</v>
      </c>
      <c r="Y47" s="5">
        <f t="shared" si="11"/>
        <v>0</v>
      </c>
      <c r="Z47" s="5">
        <f t="shared" si="12"/>
        <v>0</v>
      </c>
      <c r="AA47" s="5">
        <f t="shared" si="13"/>
        <v>0</v>
      </c>
      <c r="AB47" s="5">
        <f t="shared" si="15"/>
        <v>0</v>
      </c>
      <c r="AC47" s="8">
        <f t="shared" si="16"/>
        <v>1</v>
      </c>
      <c r="AD47" s="10">
        <f>K47*(HE_Coeff!$K$2+HE_Coeff!$L$2*HeatExchanger!U47*HeatExchanger!AC47)</f>
        <v>0</v>
      </c>
    </row>
    <row r="48" spans="1:30" x14ac:dyDescent="0.15">
      <c r="A48" s="5">
        <f t="shared" si="14"/>
        <v>39</v>
      </c>
      <c r="B48" s="7"/>
      <c r="C48" s="7">
        <v>1</v>
      </c>
      <c r="D48" s="7"/>
      <c r="E48" s="5">
        <f t="shared" si="1"/>
        <v>0</v>
      </c>
      <c r="F48" s="5">
        <f t="shared" si="2"/>
        <v>0</v>
      </c>
      <c r="G48" s="5">
        <f t="shared" si="3"/>
        <v>0</v>
      </c>
      <c r="H48" s="5">
        <f>10^(HE_Coeff!$B$2+HE_Coeff!$C$2*LOG(HeatExchanger!C48)+HE_Coeff!$D$2*(LOG(HeatExchanger!C48)^2))</f>
        <v>1636.0629131014164</v>
      </c>
      <c r="I48" s="5">
        <f>10^(HE_Coeff!$B$3+HE_Coeff!$C$3*LOG(HeatExchanger!C48)+HE_Coeff!$D$3*(LOG(HeatExchanger!C48)^2))</f>
        <v>2715.1885903272678</v>
      </c>
      <c r="J48" s="5">
        <f>10^(HE_Coeff!$B$4+HE_Coeff!$C$4*LOG(HeatExchanger!C48)+HE_Coeff!$D$4*(LOG(HeatExchanger!C48)^2))</f>
        <v>3662.6886275878383</v>
      </c>
      <c r="K48" s="10">
        <f t="shared" si="4"/>
        <v>0</v>
      </c>
      <c r="L48" s="7">
        <v>1</v>
      </c>
      <c r="M48" s="7">
        <v>1</v>
      </c>
      <c r="N48" s="9">
        <f t="shared" si="5"/>
        <v>1</v>
      </c>
      <c r="O48" s="5">
        <f t="shared" si="6"/>
        <v>0</v>
      </c>
      <c r="P48" s="5">
        <f t="shared" si="7"/>
        <v>0</v>
      </c>
      <c r="Q48" s="5">
        <f t="shared" si="8"/>
        <v>1</v>
      </c>
      <c r="R48" s="5">
        <f>10^(HE_Coeff!$E$2+HE_Coeff!$F$2*LOG(HeatExchanger!N48)+HE_Coeff!$G$2*(LOG(HeatExchanger!N48)^2))</f>
        <v>0.86101357752663688</v>
      </c>
      <c r="S48" s="5">
        <f>10^(HE_Coeff!$H$2+HE_Coeff!$I$2*LOG(HeatExchanger!N48))</f>
        <v>0.90909652984037714</v>
      </c>
      <c r="T48" s="5">
        <f>1</f>
        <v>1</v>
      </c>
      <c r="U48" s="8">
        <f t="shared" si="9"/>
        <v>1</v>
      </c>
      <c r="V48" s="7" t="s">
        <v>44</v>
      </c>
      <c r="W48" s="7" t="s">
        <v>44</v>
      </c>
      <c r="X48" s="5">
        <f t="shared" si="10"/>
        <v>1</v>
      </c>
      <c r="Y48" s="5">
        <f t="shared" si="11"/>
        <v>0</v>
      </c>
      <c r="Z48" s="5">
        <f t="shared" si="12"/>
        <v>0</v>
      </c>
      <c r="AA48" s="5">
        <f t="shared" si="13"/>
        <v>0</v>
      </c>
      <c r="AB48" s="5">
        <f t="shared" si="15"/>
        <v>0</v>
      </c>
      <c r="AC48" s="8">
        <f t="shared" si="16"/>
        <v>1</v>
      </c>
      <c r="AD48" s="10">
        <f>K48*(HE_Coeff!$K$2+HE_Coeff!$L$2*HeatExchanger!U48*HeatExchanger!AC48)</f>
        <v>0</v>
      </c>
    </row>
    <row r="49" spans="1:30" x14ac:dyDescent="0.15">
      <c r="A49" s="5">
        <f t="shared" si="14"/>
        <v>40</v>
      </c>
      <c r="B49" s="7"/>
      <c r="C49" s="7">
        <v>1</v>
      </c>
      <c r="D49" s="7"/>
      <c r="E49" s="5">
        <f t="shared" si="1"/>
        <v>0</v>
      </c>
      <c r="F49" s="5">
        <f t="shared" si="2"/>
        <v>0</v>
      </c>
      <c r="G49" s="5">
        <f t="shared" si="3"/>
        <v>0</v>
      </c>
      <c r="H49" s="5">
        <f>10^(HE_Coeff!$B$2+HE_Coeff!$C$2*LOG(HeatExchanger!C49)+HE_Coeff!$D$2*(LOG(HeatExchanger!C49)^2))</f>
        <v>1636.0629131014164</v>
      </c>
      <c r="I49" s="5">
        <f>10^(HE_Coeff!$B$3+HE_Coeff!$C$3*LOG(HeatExchanger!C49)+HE_Coeff!$D$3*(LOG(HeatExchanger!C49)^2))</f>
        <v>2715.1885903272678</v>
      </c>
      <c r="J49" s="5">
        <f>10^(HE_Coeff!$B$4+HE_Coeff!$C$4*LOG(HeatExchanger!C49)+HE_Coeff!$D$4*(LOG(HeatExchanger!C49)^2))</f>
        <v>3662.6886275878383</v>
      </c>
      <c r="K49" s="10">
        <f t="shared" si="4"/>
        <v>0</v>
      </c>
      <c r="L49" s="7">
        <v>1</v>
      </c>
      <c r="M49" s="7">
        <v>1</v>
      </c>
      <c r="N49" s="9">
        <f t="shared" si="5"/>
        <v>1</v>
      </c>
      <c r="O49" s="5">
        <f t="shared" si="6"/>
        <v>0</v>
      </c>
      <c r="P49" s="5">
        <f t="shared" si="7"/>
        <v>0</v>
      </c>
      <c r="Q49" s="5">
        <f t="shared" si="8"/>
        <v>1</v>
      </c>
      <c r="R49" s="5">
        <f>10^(HE_Coeff!$E$2+HE_Coeff!$F$2*LOG(HeatExchanger!N49)+HE_Coeff!$G$2*(LOG(HeatExchanger!N49)^2))</f>
        <v>0.86101357752663688</v>
      </c>
      <c r="S49" s="5">
        <f>10^(HE_Coeff!$H$2+HE_Coeff!$I$2*LOG(HeatExchanger!N49))</f>
        <v>0.90909652984037714</v>
      </c>
      <c r="T49" s="5">
        <f>1</f>
        <v>1</v>
      </c>
      <c r="U49" s="8">
        <f t="shared" si="9"/>
        <v>1</v>
      </c>
      <c r="V49" s="7" t="s">
        <v>44</v>
      </c>
      <c r="W49" s="7" t="s">
        <v>44</v>
      </c>
      <c r="X49" s="5">
        <f t="shared" si="10"/>
        <v>1</v>
      </c>
      <c r="Y49" s="5">
        <f t="shared" si="11"/>
        <v>0</v>
      </c>
      <c r="Z49" s="5">
        <f t="shared" si="12"/>
        <v>0</v>
      </c>
      <c r="AA49" s="5">
        <f t="shared" si="13"/>
        <v>0</v>
      </c>
      <c r="AB49" s="5">
        <f t="shared" si="15"/>
        <v>0</v>
      </c>
      <c r="AC49" s="8">
        <f t="shared" si="16"/>
        <v>1</v>
      </c>
      <c r="AD49" s="10">
        <f>K49*(HE_Coeff!$K$2+HE_Coeff!$L$2*HeatExchanger!U49*HeatExchanger!AC49)</f>
        <v>0</v>
      </c>
    </row>
    <row r="50" spans="1:30" x14ac:dyDescent="0.15">
      <c r="A50" s="5">
        <f t="shared" si="14"/>
        <v>41</v>
      </c>
      <c r="B50" s="7"/>
      <c r="C50" s="7">
        <v>1</v>
      </c>
      <c r="D50" s="7"/>
      <c r="E50" s="5">
        <f t="shared" si="1"/>
        <v>0</v>
      </c>
      <c r="F50" s="5">
        <f t="shared" si="2"/>
        <v>0</v>
      </c>
      <c r="G50" s="5">
        <f t="shared" si="3"/>
        <v>0</v>
      </c>
      <c r="H50" s="5">
        <f>10^(HE_Coeff!$B$2+HE_Coeff!$C$2*LOG(HeatExchanger!C50)+HE_Coeff!$D$2*(LOG(HeatExchanger!C50)^2))</f>
        <v>1636.0629131014164</v>
      </c>
      <c r="I50" s="5">
        <f>10^(HE_Coeff!$B$3+HE_Coeff!$C$3*LOG(HeatExchanger!C50)+HE_Coeff!$D$3*(LOG(HeatExchanger!C50)^2))</f>
        <v>2715.1885903272678</v>
      </c>
      <c r="J50" s="5">
        <f>10^(HE_Coeff!$B$4+HE_Coeff!$C$4*LOG(HeatExchanger!C50)+HE_Coeff!$D$4*(LOG(HeatExchanger!C50)^2))</f>
        <v>3662.6886275878383</v>
      </c>
      <c r="K50" s="10">
        <f t="shared" si="4"/>
        <v>0</v>
      </c>
      <c r="L50" s="7">
        <v>1</v>
      </c>
      <c r="M50" s="7">
        <v>1</v>
      </c>
      <c r="N50" s="9">
        <f t="shared" si="5"/>
        <v>1</v>
      </c>
      <c r="O50" s="5">
        <f t="shared" si="6"/>
        <v>0</v>
      </c>
      <c r="P50" s="5">
        <f t="shared" si="7"/>
        <v>0</v>
      </c>
      <c r="Q50" s="5">
        <f t="shared" si="8"/>
        <v>1</v>
      </c>
      <c r="R50" s="5">
        <f>10^(HE_Coeff!$E$2+HE_Coeff!$F$2*LOG(HeatExchanger!N50)+HE_Coeff!$G$2*(LOG(HeatExchanger!N50)^2))</f>
        <v>0.86101357752663688</v>
      </c>
      <c r="S50" s="5">
        <f>10^(HE_Coeff!$H$2+HE_Coeff!$I$2*LOG(HeatExchanger!N50))</f>
        <v>0.90909652984037714</v>
      </c>
      <c r="T50" s="5">
        <f>1</f>
        <v>1</v>
      </c>
      <c r="U50" s="8">
        <f t="shared" si="9"/>
        <v>1</v>
      </c>
      <c r="V50" s="7" t="s">
        <v>44</v>
      </c>
      <c r="W50" s="7" t="s">
        <v>44</v>
      </c>
      <c r="X50" s="5">
        <f t="shared" si="10"/>
        <v>1</v>
      </c>
      <c r="Y50" s="5">
        <f t="shared" si="11"/>
        <v>0</v>
      </c>
      <c r="Z50" s="5">
        <f t="shared" si="12"/>
        <v>0</v>
      </c>
      <c r="AA50" s="5">
        <f t="shared" si="13"/>
        <v>0</v>
      </c>
      <c r="AB50" s="5">
        <f t="shared" si="15"/>
        <v>0</v>
      </c>
      <c r="AC50" s="8">
        <f t="shared" si="16"/>
        <v>1</v>
      </c>
      <c r="AD50" s="10">
        <f>K50*(HE_Coeff!$K$2+HE_Coeff!$L$2*HeatExchanger!U50*HeatExchanger!AC50)</f>
        <v>0</v>
      </c>
    </row>
    <row r="51" spans="1:30" x14ac:dyDescent="0.15">
      <c r="A51" s="5">
        <f t="shared" si="14"/>
        <v>42</v>
      </c>
      <c r="B51" s="7"/>
      <c r="C51" s="7">
        <v>1</v>
      </c>
      <c r="D51" s="7"/>
      <c r="E51" s="5">
        <f t="shared" si="1"/>
        <v>0</v>
      </c>
      <c r="F51" s="5">
        <f t="shared" si="2"/>
        <v>0</v>
      </c>
      <c r="G51" s="5">
        <f t="shared" si="3"/>
        <v>0</v>
      </c>
      <c r="H51" s="5">
        <f>10^(HE_Coeff!$B$2+HE_Coeff!$C$2*LOG(HeatExchanger!C51)+HE_Coeff!$D$2*(LOG(HeatExchanger!C51)^2))</f>
        <v>1636.0629131014164</v>
      </c>
      <c r="I51" s="5">
        <f>10^(HE_Coeff!$B$3+HE_Coeff!$C$3*LOG(HeatExchanger!C51)+HE_Coeff!$D$3*(LOG(HeatExchanger!C51)^2))</f>
        <v>2715.1885903272678</v>
      </c>
      <c r="J51" s="5">
        <f>10^(HE_Coeff!$B$4+HE_Coeff!$C$4*LOG(HeatExchanger!C51)+HE_Coeff!$D$4*(LOG(HeatExchanger!C51)^2))</f>
        <v>3662.6886275878383</v>
      </c>
      <c r="K51" s="10">
        <f t="shared" si="4"/>
        <v>0</v>
      </c>
      <c r="L51" s="7">
        <v>1</v>
      </c>
      <c r="M51" s="7">
        <v>1</v>
      </c>
      <c r="N51" s="9">
        <f t="shared" si="5"/>
        <v>1</v>
      </c>
      <c r="O51" s="5">
        <f t="shared" si="6"/>
        <v>0</v>
      </c>
      <c r="P51" s="5">
        <f t="shared" si="7"/>
        <v>0</v>
      </c>
      <c r="Q51" s="5">
        <f t="shared" si="8"/>
        <v>1</v>
      </c>
      <c r="R51" s="5">
        <f>10^(HE_Coeff!$E$2+HE_Coeff!$F$2*LOG(HeatExchanger!N51)+HE_Coeff!$G$2*(LOG(HeatExchanger!N51)^2))</f>
        <v>0.86101357752663688</v>
      </c>
      <c r="S51" s="5">
        <f>10^(HE_Coeff!$H$2+HE_Coeff!$I$2*LOG(HeatExchanger!N51))</f>
        <v>0.90909652984037714</v>
      </c>
      <c r="T51" s="5">
        <f>1</f>
        <v>1</v>
      </c>
      <c r="U51" s="8">
        <f t="shared" si="9"/>
        <v>1</v>
      </c>
      <c r="V51" s="7" t="s">
        <v>44</v>
      </c>
      <c r="W51" s="7" t="s">
        <v>44</v>
      </c>
      <c r="X51" s="5">
        <f t="shared" si="10"/>
        <v>1</v>
      </c>
      <c r="Y51" s="5">
        <f t="shared" si="11"/>
        <v>0</v>
      </c>
      <c r="Z51" s="5">
        <f t="shared" si="12"/>
        <v>0</v>
      </c>
      <c r="AA51" s="5">
        <f t="shared" si="13"/>
        <v>0</v>
      </c>
      <c r="AB51" s="5">
        <f t="shared" si="15"/>
        <v>0</v>
      </c>
      <c r="AC51" s="8">
        <f t="shared" si="16"/>
        <v>1</v>
      </c>
      <c r="AD51" s="10">
        <f>K51*(HE_Coeff!$K$2+HE_Coeff!$L$2*HeatExchanger!U51*HeatExchanger!AC51)</f>
        <v>0</v>
      </c>
    </row>
    <row r="52" spans="1:30" x14ac:dyDescent="0.15">
      <c r="A52" s="5">
        <f t="shared" si="14"/>
        <v>43</v>
      </c>
      <c r="B52" s="7"/>
      <c r="C52" s="7">
        <v>1</v>
      </c>
      <c r="D52" s="7"/>
      <c r="E52" s="5">
        <f t="shared" si="1"/>
        <v>0</v>
      </c>
      <c r="F52" s="5">
        <f t="shared" si="2"/>
        <v>0</v>
      </c>
      <c r="G52" s="5">
        <f t="shared" si="3"/>
        <v>0</v>
      </c>
      <c r="H52" s="5">
        <f>10^(HE_Coeff!$B$2+HE_Coeff!$C$2*LOG(HeatExchanger!C52)+HE_Coeff!$D$2*(LOG(HeatExchanger!C52)^2))</f>
        <v>1636.0629131014164</v>
      </c>
      <c r="I52" s="5">
        <f>10^(HE_Coeff!$B$3+HE_Coeff!$C$3*LOG(HeatExchanger!C52)+HE_Coeff!$D$3*(LOG(HeatExchanger!C52)^2))</f>
        <v>2715.1885903272678</v>
      </c>
      <c r="J52" s="5">
        <f>10^(HE_Coeff!$B$4+HE_Coeff!$C$4*LOG(HeatExchanger!C52)+HE_Coeff!$D$4*(LOG(HeatExchanger!C52)^2))</f>
        <v>3662.6886275878383</v>
      </c>
      <c r="K52" s="10">
        <f t="shared" si="4"/>
        <v>0</v>
      </c>
      <c r="L52" s="7">
        <v>1</v>
      </c>
      <c r="M52" s="7">
        <v>1</v>
      </c>
      <c r="N52" s="9">
        <f t="shared" si="5"/>
        <v>1</v>
      </c>
      <c r="O52" s="5">
        <f t="shared" si="6"/>
        <v>0</v>
      </c>
      <c r="P52" s="5">
        <f t="shared" si="7"/>
        <v>0</v>
      </c>
      <c r="Q52" s="5">
        <f t="shared" si="8"/>
        <v>1</v>
      </c>
      <c r="R52" s="5">
        <f>10^(HE_Coeff!$E$2+HE_Coeff!$F$2*LOG(HeatExchanger!N52)+HE_Coeff!$G$2*(LOG(HeatExchanger!N52)^2))</f>
        <v>0.86101357752663688</v>
      </c>
      <c r="S52" s="5">
        <f>10^(HE_Coeff!$H$2+HE_Coeff!$I$2*LOG(HeatExchanger!N52))</f>
        <v>0.90909652984037714</v>
      </c>
      <c r="T52" s="5">
        <f>1</f>
        <v>1</v>
      </c>
      <c r="U52" s="8">
        <f t="shared" si="9"/>
        <v>1</v>
      </c>
      <c r="V52" s="7" t="s">
        <v>44</v>
      </c>
      <c r="W52" s="7" t="s">
        <v>44</v>
      </c>
      <c r="X52" s="5">
        <f t="shared" si="10"/>
        <v>1</v>
      </c>
      <c r="Y52" s="5">
        <f t="shared" si="11"/>
        <v>0</v>
      </c>
      <c r="Z52" s="5">
        <f t="shared" si="12"/>
        <v>0</v>
      </c>
      <c r="AA52" s="5">
        <f t="shared" si="13"/>
        <v>0</v>
      </c>
      <c r="AB52" s="5">
        <f t="shared" si="15"/>
        <v>0</v>
      </c>
      <c r="AC52" s="8">
        <f t="shared" si="16"/>
        <v>1</v>
      </c>
      <c r="AD52" s="10">
        <f>K52*(HE_Coeff!$K$2+HE_Coeff!$L$2*HeatExchanger!U52*HeatExchanger!AC52)</f>
        <v>0</v>
      </c>
    </row>
    <row r="53" spans="1:30" x14ac:dyDescent="0.15">
      <c r="A53" s="5">
        <f t="shared" si="14"/>
        <v>44</v>
      </c>
      <c r="B53" s="7"/>
      <c r="C53" s="7">
        <v>1</v>
      </c>
      <c r="D53" s="7"/>
      <c r="E53" s="5">
        <f t="shared" si="1"/>
        <v>0</v>
      </c>
      <c r="F53" s="5">
        <f t="shared" si="2"/>
        <v>0</v>
      </c>
      <c r="G53" s="5">
        <f t="shared" si="3"/>
        <v>0</v>
      </c>
      <c r="H53" s="5">
        <f>10^(HE_Coeff!$B$2+HE_Coeff!$C$2*LOG(HeatExchanger!C53)+HE_Coeff!$D$2*(LOG(HeatExchanger!C53)^2))</f>
        <v>1636.0629131014164</v>
      </c>
      <c r="I53" s="5">
        <f>10^(HE_Coeff!$B$3+HE_Coeff!$C$3*LOG(HeatExchanger!C53)+HE_Coeff!$D$3*(LOG(HeatExchanger!C53)^2))</f>
        <v>2715.1885903272678</v>
      </c>
      <c r="J53" s="5">
        <f>10^(HE_Coeff!$B$4+HE_Coeff!$C$4*LOG(HeatExchanger!C53)+HE_Coeff!$D$4*(LOG(HeatExchanger!C53)^2))</f>
        <v>3662.6886275878383</v>
      </c>
      <c r="K53" s="10">
        <f t="shared" si="4"/>
        <v>0</v>
      </c>
      <c r="L53" s="7">
        <v>1</v>
      </c>
      <c r="M53" s="7">
        <v>1</v>
      </c>
      <c r="N53" s="9">
        <f t="shared" si="5"/>
        <v>1</v>
      </c>
      <c r="O53" s="5">
        <f t="shared" si="6"/>
        <v>0</v>
      </c>
      <c r="P53" s="5">
        <f t="shared" si="7"/>
        <v>0</v>
      </c>
      <c r="Q53" s="5">
        <f t="shared" si="8"/>
        <v>1</v>
      </c>
      <c r="R53" s="5">
        <f>10^(HE_Coeff!$E$2+HE_Coeff!$F$2*LOG(HeatExchanger!N53)+HE_Coeff!$G$2*(LOG(HeatExchanger!N53)^2))</f>
        <v>0.86101357752663688</v>
      </c>
      <c r="S53" s="5">
        <f>10^(HE_Coeff!$H$2+HE_Coeff!$I$2*LOG(HeatExchanger!N53))</f>
        <v>0.90909652984037714</v>
      </c>
      <c r="T53" s="5">
        <f>1</f>
        <v>1</v>
      </c>
      <c r="U53" s="8">
        <f t="shared" si="9"/>
        <v>1</v>
      </c>
      <c r="V53" s="7" t="s">
        <v>44</v>
      </c>
      <c r="W53" s="7" t="s">
        <v>44</v>
      </c>
      <c r="X53" s="5">
        <f t="shared" si="10"/>
        <v>1</v>
      </c>
      <c r="Y53" s="5">
        <f t="shared" si="11"/>
        <v>0</v>
      </c>
      <c r="Z53" s="5">
        <f t="shared" si="12"/>
        <v>0</v>
      </c>
      <c r="AA53" s="5">
        <f t="shared" si="13"/>
        <v>0</v>
      </c>
      <c r="AB53" s="5">
        <f t="shared" si="15"/>
        <v>0</v>
      </c>
      <c r="AC53" s="8">
        <f t="shared" si="16"/>
        <v>1</v>
      </c>
      <c r="AD53" s="10">
        <f>K53*(HE_Coeff!$K$2+HE_Coeff!$L$2*HeatExchanger!U53*HeatExchanger!AC53)</f>
        <v>0</v>
      </c>
    </row>
    <row r="54" spans="1:30" x14ac:dyDescent="0.15">
      <c r="A54" s="5">
        <f t="shared" si="14"/>
        <v>45</v>
      </c>
      <c r="B54" s="7"/>
      <c r="C54" s="7">
        <v>1</v>
      </c>
      <c r="D54" s="7"/>
      <c r="E54" s="5">
        <f t="shared" si="1"/>
        <v>0</v>
      </c>
      <c r="F54" s="5">
        <f t="shared" si="2"/>
        <v>0</v>
      </c>
      <c r="G54" s="5">
        <f t="shared" si="3"/>
        <v>0</v>
      </c>
      <c r="H54" s="5">
        <f>10^(HE_Coeff!$B$2+HE_Coeff!$C$2*LOG(HeatExchanger!C54)+HE_Coeff!$D$2*(LOG(HeatExchanger!C54)^2))</f>
        <v>1636.0629131014164</v>
      </c>
      <c r="I54" s="5">
        <f>10^(HE_Coeff!$B$3+HE_Coeff!$C$3*LOG(HeatExchanger!C54)+HE_Coeff!$D$3*(LOG(HeatExchanger!C54)^2))</f>
        <v>2715.1885903272678</v>
      </c>
      <c r="J54" s="5">
        <f>10^(HE_Coeff!$B$4+HE_Coeff!$C$4*LOG(HeatExchanger!C54)+HE_Coeff!$D$4*(LOG(HeatExchanger!C54)^2))</f>
        <v>3662.6886275878383</v>
      </c>
      <c r="K54" s="10">
        <f t="shared" si="4"/>
        <v>0</v>
      </c>
      <c r="L54" s="7">
        <v>1</v>
      </c>
      <c r="M54" s="7">
        <v>1</v>
      </c>
      <c r="N54" s="9">
        <f t="shared" si="5"/>
        <v>1</v>
      </c>
      <c r="O54" s="5">
        <f t="shared" si="6"/>
        <v>0</v>
      </c>
      <c r="P54" s="5">
        <f t="shared" si="7"/>
        <v>0</v>
      </c>
      <c r="Q54" s="5">
        <f t="shared" si="8"/>
        <v>1</v>
      </c>
      <c r="R54" s="5">
        <f>10^(HE_Coeff!$E$2+HE_Coeff!$F$2*LOG(HeatExchanger!N54)+HE_Coeff!$G$2*(LOG(HeatExchanger!N54)^2))</f>
        <v>0.86101357752663688</v>
      </c>
      <c r="S54" s="5">
        <f>10^(HE_Coeff!$H$2+HE_Coeff!$I$2*LOG(HeatExchanger!N54))</f>
        <v>0.90909652984037714</v>
      </c>
      <c r="T54" s="5">
        <f>1</f>
        <v>1</v>
      </c>
      <c r="U54" s="8">
        <f t="shared" si="9"/>
        <v>1</v>
      </c>
      <c r="V54" s="7" t="s">
        <v>44</v>
      </c>
      <c r="W54" s="7" t="s">
        <v>44</v>
      </c>
      <c r="X54" s="5">
        <f t="shared" si="10"/>
        <v>1</v>
      </c>
      <c r="Y54" s="5">
        <f t="shared" si="11"/>
        <v>0</v>
      </c>
      <c r="Z54" s="5">
        <f t="shared" si="12"/>
        <v>0</v>
      </c>
      <c r="AA54" s="5">
        <f t="shared" si="13"/>
        <v>0</v>
      </c>
      <c r="AB54" s="5">
        <f t="shared" si="15"/>
        <v>0</v>
      </c>
      <c r="AC54" s="8">
        <f t="shared" si="16"/>
        <v>1</v>
      </c>
      <c r="AD54" s="10">
        <f>K54*(HE_Coeff!$K$2+HE_Coeff!$L$2*HeatExchanger!U54*HeatExchanger!AC54)</f>
        <v>0</v>
      </c>
    </row>
    <row r="55" spans="1:30" x14ac:dyDescent="0.15">
      <c r="A55" s="5">
        <f t="shared" si="14"/>
        <v>46</v>
      </c>
      <c r="B55" s="7"/>
      <c r="C55" s="7">
        <v>1</v>
      </c>
      <c r="D55" s="7"/>
      <c r="E55" s="5">
        <f t="shared" si="1"/>
        <v>0</v>
      </c>
      <c r="F55" s="5">
        <f t="shared" si="2"/>
        <v>0</v>
      </c>
      <c r="G55" s="5">
        <f t="shared" si="3"/>
        <v>0</v>
      </c>
      <c r="H55" s="5">
        <f>10^(HE_Coeff!$B$2+HE_Coeff!$C$2*LOG(HeatExchanger!C55)+HE_Coeff!$D$2*(LOG(HeatExchanger!C55)^2))</f>
        <v>1636.0629131014164</v>
      </c>
      <c r="I55" s="5">
        <f>10^(HE_Coeff!$B$3+HE_Coeff!$C$3*LOG(HeatExchanger!C55)+HE_Coeff!$D$3*(LOG(HeatExchanger!C55)^2))</f>
        <v>2715.1885903272678</v>
      </c>
      <c r="J55" s="5">
        <f>10^(HE_Coeff!$B$4+HE_Coeff!$C$4*LOG(HeatExchanger!C55)+HE_Coeff!$D$4*(LOG(HeatExchanger!C55)^2))</f>
        <v>3662.6886275878383</v>
      </c>
      <c r="K55" s="10">
        <f t="shared" si="4"/>
        <v>0</v>
      </c>
      <c r="L55" s="7">
        <v>1</v>
      </c>
      <c r="M55" s="7">
        <v>1</v>
      </c>
      <c r="N55" s="9">
        <f t="shared" si="5"/>
        <v>1</v>
      </c>
      <c r="O55" s="5">
        <f t="shared" si="6"/>
        <v>0</v>
      </c>
      <c r="P55" s="5">
        <f t="shared" si="7"/>
        <v>0</v>
      </c>
      <c r="Q55" s="5">
        <f t="shared" si="8"/>
        <v>1</v>
      </c>
      <c r="R55" s="5">
        <f>10^(HE_Coeff!$E$2+HE_Coeff!$F$2*LOG(HeatExchanger!N55)+HE_Coeff!$G$2*(LOG(HeatExchanger!N55)^2))</f>
        <v>0.86101357752663688</v>
      </c>
      <c r="S55" s="5">
        <f>10^(HE_Coeff!$H$2+HE_Coeff!$I$2*LOG(HeatExchanger!N55))</f>
        <v>0.90909652984037714</v>
      </c>
      <c r="T55" s="5">
        <f>1</f>
        <v>1</v>
      </c>
      <c r="U55" s="8">
        <f t="shared" si="9"/>
        <v>1</v>
      </c>
      <c r="V55" s="7" t="s">
        <v>44</v>
      </c>
      <c r="W55" s="7" t="s">
        <v>44</v>
      </c>
      <c r="X55" s="5">
        <f t="shared" si="10"/>
        <v>1</v>
      </c>
      <c r="Y55" s="5">
        <f t="shared" si="11"/>
        <v>0</v>
      </c>
      <c r="Z55" s="5">
        <f t="shared" si="12"/>
        <v>0</v>
      </c>
      <c r="AA55" s="5">
        <f t="shared" si="13"/>
        <v>0</v>
      </c>
      <c r="AB55" s="5">
        <f t="shared" si="15"/>
        <v>0</v>
      </c>
      <c r="AC55" s="8">
        <f t="shared" si="16"/>
        <v>1</v>
      </c>
      <c r="AD55" s="10">
        <f>K55*(HE_Coeff!$K$2+HE_Coeff!$L$2*HeatExchanger!U55*HeatExchanger!AC55)</f>
        <v>0</v>
      </c>
    </row>
    <row r="56" spans="1:30" x14ac:dyDescent="0.15">
      <c r="A56" s="5">
        <f t="shared" si="14"/>
        <v>47</v>
      </c>
      <c r="B56" s="7"/>
      <c r="C56" s="7">
        <v>1</v>
      </c>
      <c r="D56" s="7"/>
      <c r="E56" s="5">
        <f t="shared" si="1"/>
        <v>0</v>
      </c>
      <c r="F56" s="5">
        <f t="shared" si="2"/>
        <v>0</v>
      </c>
      <c r="G56" s="5">
        <f t="shared" si="3"/>
        <v>0</v>
      </c>
      <c r="H56" s="5">
        <f>10^(HE_Coeff!$B$2+HE_Coeff!$C$2*LOG(HeatExchanger!C56)+HE_Coeff!$D$2*(LOG(HeatExchanger!C56)^2))</f>
        <v>1636.0629131014164</v>
      </c>
      <c r="I56" s="5">
        <f>10^(HE_Coeff!$B$3+HE_Coeff!$C$3*LOG(HeatExchanger!C56)+HE_Coeff!$D$3*(LOG(HeatExchanger!C56)^2))</f>
        <v>2715.1885903272678</v>
      </c>
      <c r="J56" s="5">
        <f>10^(HE_Coeff!$B$4+HE_Coeff!$C$4*LOG(HeatExchanger!C56)+HE_Coeff!$D$4*(LOG(HeatExchanger!C56)^2))</f>
        <v>3662.6886275878383</v>
      </c>
      <c r="K56" s="10">
        <f t="shared" si="4"/>
        <v>0</v>
      </c>
      <c r="L56" s="7">
        <v>1</v>
      </c>
      <c r="M56" s="7">
        <v>1</v>
      </c>
      <c r="N56" s="9">
        <f t="shared" si="5"/>
        <v>1</v>
      </c>
      <c r="O56" s="5">
        <f t="shared" si="6"/>
        <v>0</v>
      </c>
      <c r="P56" s="5">
        <f t="shared" si="7"/>
        <v>0</v>
      </c>
      <c r="Q56" s="5">
        <f t="shared" si="8"/>
        <v>1</v>
      </c>
      <c r="R56" s="5">
        <f>10^(HE_Coeff!$E$2+HE_Coeff!$F$2*LOG(HeatExchanger!N56)+HE_Coeff!$G$2*(LOG(HeatExchanger!N56)^2))</f>
        <v>0.86101357752663688</v>
      </c>
      <c r="S56" s="5">
        <f>10^(HE_Coeff!$H$2+HE_Coeff!$I$2*LOG(HeatExchanger!N56))</f>
        <v>0.90909652984037714</v>
      </c>
      <c r="T56" s="5">
        <f>1</f>
        <v>1</v>
      </c>
      <c r="U56" s="8">
        <f t="shared" si="9"/>
        <v>1</v>
      </c>
      <c r="V56" s="7" t="s">
        <v>44</v>
      </c>
      <c r="W56" s="7" t="s">
        <v>44</v>
      </c>
      <c r="X56" s="5">
        <f t="shared" si="10"/>
        <v>1</v>
      </c>
      <c r="Y56" s="5">
        <f t="shared" si="11"/>
        <v>0</v>
      </c>
      <c r="Z56" s="5">
        <f t="shared" si="12"/>
        <v>0</v>
      </c>
      <c r="AA56" s="5">
        <f t="shared" si="13"/>
        <v>0</v>
      </c>
      <c r="AB56" s="5">
        <f t="shared" si="15"/>
        <v>0</v>
      </c>
      <c r="AC56" s="8">
        <f t="shared" si="16"/>
        <v>1</v>
      </c>
      <c r="AD56" s="10">
        <f>K56*(HE_Coeff!$K$2+HE_Coeff!$L$2*HeatExchanger!U56*HeatExchanger!AC56)</f>
        <v>0</v>
      </c>
    </row>
    <row r="57" spans="1:30" x14ac:dyDescent="0.15">
      <c r="A57" s="5">
        <f t="shared" si="14"/>
        <v>48</v>
      </c>
      <c r="B57" s="7"/>
      <c r="C57" s="7">
        <v>1</v>
      </c>
      <c r="D57" s="7"/>
      <c r="E57" s="5">
        <f t="shared" si="1"/>
        <v>0</v>
      </c>
      <c r="F57" s="5">
        <f t="shared" si="2"/>
        <v>0</v>
      </c>
      <c r="G57" s="5">
        <f t="shared" si="3"/>
        <v>0</v>
      </c>
      <c r="H57" s="5">
        <f>10^(HE_Coeff!$B$2+HE_Coeff!$C$2*LOG(HeatExchanger!C57)+HE_Coeff!$D$2*(LOG(HeatExchanger!C57)^2))</f>
        <v>1636.0629131014164</v>
      </c>
      <c r="I57" s="5">
        <f>10^(HE_Coeff!$B$3+HE_Coeff!$C$3*LOG(HeatExchanger!C57)+HE_Coeff!$D$3*(LOG(HeatExchanger!C57)^2))</f>
        <v>2715.1885903272678</v>
      </c>
      <c r="J57" s="5">
        <f>10^(HE_Coeff!$B$4+HE_Coeff!$C$4*LOG(HeatExchanger!C57)+HE_Coeff!$D$4*(LOG(HeatExchanger!C57)^2))</f>
        <v>3662.6886275878383</v>
      </c>
      <c r="K57" s="10">
        <f t="shared" si="4"/>
        <v>0</v>
      </c>
      <c r="L57" s="7">
        <v>1</v>
      </c>
      <c r="M57" s="7">
        <v>1</v>
      </c>
      <c r="N57" s="9">
        <f t="shared" si="5"/>
        <v>1</v>
      </c>
      <c r="O57" s="5">
        <f t="shared" si="6"/>
        <v>0</v>
      </c>
      <c r="P57" s="5">
        <f t="shared" si="7"/>
        <v>0</v>
      </c>
      <c r="Q57" s="5">
        <f t="shared" si="8"/>
        <v>1</v>
      </c>
      <c r="R57" s="5">
        <f>10^(HE_Coeff!$E$2+HE_Coeff!$F$2*LOG(HeatExchanger!N57)+HE_Coeff!$G$2*(LOG(HeatExchanger!N57)^2))</f>
        <v>0.86101357752663688</v>
      </c>
      <c r="S57" s="5">
        <f>10^(HE_Coeff!$H$2+HE_Coeff!$I$2*LOG(HeatExchanger!N57))</f>
        <v>0.90909652984037714</v>
      </c>
      <c r="T57" s="5">
        <f>1</f>
        <v>1</v>
      </c>
      <c r="U57" s="8">
        <f t="shared" si="9"/>
        <v>1</v>
      </c>
      <c r="V57" s="7" t="s">
        <v>44</v>
      </c>
      <c r="W57" s="7" t="s">
        <v>44</v>
      </c>
      <c r="X57" s="5">
        <f t="shared" si="10"/>
        <v>1</v>
      </c>
      <c r="Y57" s="5">
        <f t="shared" si="11"/>
        <v>0</v>
      </c>
      <c r="Z57" s="5">
        <f t="shared" si="12"/>
        <v>0</v>
      </c>
      <c r="AA57" s="5">
        <f t="shared" si="13"/>
        <v>0</v>
      </c>
      <c r="AB57" s="5">
        <f t="shared" si="15"/>
        <v>0</v>
      </c>
      <c r="AC57" s="8">
        <f t="shared" si="16"/>
        <v>1</v>
      </c>
      <c r="AD57" s="10">
        <f>K57*(HE_Coeff!$K$2+HE_Coeff!$L$2*HeatExchanger!U57*HeatExchanger!AC57)</f>
        <v>0</v>
      </c>
    </row>
    <row r="58" spans="1:30" ht="14.25" thickBot="1" x14ac:dyDescent="0.2">
      <c r="A58" s="5">
        <f t="shared" si="14"/>
        <v>49</v>
      </c>
      <c r="B58" s="7"/>
      <c r="C58" s="7">
        <v>1</v>
      </c>
      <c r="D58" s="7"/>
      <c r="E58" s="5">
        <f t="shared" si="1"/>
        <v>0</v>
      </c>
      <c r="F58" s="5">
        <f t="shared" si="2"/>
        <v>0</v>
      </c>
      <c r="G58" s="5">
        <f t="shared" si="3"/>
        <v>0</v>
      </c>
      <c r="H58" s="5">
        <f>10^(HE_Coeff!$B$2+HE_Coeff!$C$2*LOG(HeatExchanger!C58)+HE_Coeff!$D$2*(LOG(HeatExchanger!C58)^2))</f>
        <v>1636.0629131014164</v>
      </c>
      <c r="I58" s="5">
        <f>10^(HE_Coeff!$B$3+HE_Coeff!$C$3*LOG(HeatExchanger!C58)+HE_Coeff!$D$3*(LOG(HeatExchanger!C58)^2))</f>
        <v>2715.1885903272678</v>
      </c>
      <c r="J58" s="5">
        <f>10^(HE_Coeff!$B$4+HE_Coeff!$C$4*LOG(HeatExchanger!C58)+HE_Coeff!$D$4*(LOG(HeatExchanger!C58)^2))</f>
        <v>3662.6886275878383</v>
      </c>
      <c r="K58" s="10">
        <f t="shared" si="4"/>
        <v>0</v>
      </c>
      <c r="L58" s="7">
        <v>1</v>
      </c>
      <c r="M58" s="7">
        <v>1</v>
      </c>
      <c r="N58" s="9">
        <f t="shared" si="5"/>
        <v>1</v>
      </c>
      <c r="O58" s="5">
        <f t="shared" si="6"/>
        <v>0</v>
      </c>
      <c r="P58" s="5">
        <f t="shared" si="7"/>
        <v>0</v>
      </c>
      <c r="Q58" s="5">
        <f t="shared" si="8"/>
        <v>1</v>
      </c>
      <c r="R58" s="5">
        <f>10^(HE_Coeff!$E$2+HE_Coeff!$F$2*LOG(HeatExchanger!N58)+HE_Coeff!$G$2*(LOG(HeatExchanger!N58)^2))</f>
        <v>0.86101357752663688</v>
      </c>
      <c r="S58" s="5">
        <f>10^(HE_Coeff!$H$2+HE_Coeff!$I$2*LOG(HeatExchanger!N58))</f>
        <v>0.90909652984037714</v>
      </c>
      <c r="T58" s="5">
        <f>1</f>
        <v>1</v>
      </c>
      <c r="U58" s="8">
        <f t="shared" si="9"/>
        <v>1</v>
      </c>
      <c r="V58" s="7" t="s">
        <v>44</v>
      </c>
      <c r="W58" s="7" t="s">
        <v>44</v>
      </c>
      <c r="X58" s="5">
        <f t="shared" si="10"/>
        <v>1</v>
      </c>
      <c r="Y58" s="5">
        <f t="shared" si="11"/>
        <v>0</v>
      </c>
      <c r="Z58" s="5">
        <f t="shared" si="12"/>
        <v>0</v>
      </c>
      <c r="AA58" s="5">
        <f t="shared" si="13"/>
        <v>0</v>
      </c>
      <c r="AB58" s="5">
        <f t="shared" si="15"/>
        <v>0</v>
      </c>
      <c r="AC58" s="8">
        <f t="shared" si="16"/>
        <v>1</v>
      </c>
      <c r="AD58" s="20">
        <f>K58*(HE_Coeff!$K$2+HE_Coeff!$L$2*HeatExchanger!U58*HeatExchanger!AC58)</f>
        <v>0</v>
      </c>
    </row>
    <row r="59" spans="1:30" ht="14.25" thickBot="1" x14ac:dyDescent="0.2">
      <c r="AD59" s="21">
        <f>SUM(AD10:AD58)</f>
        <v>0</v>
      </c>
    </row>
  </sheetData>
  <mergeCells count="1">
    <mergeCell ref="E7:G7"/>
  </mergeCells>
  <phoneticPr fontId="1"/>
  <dataValidations count="5">
    <dataValidation type="list" allowBlank="1" showInputMessage="1" showErrorMessage="1" sqref="D9:D58">
      <formula1>$D$1:$D$3</formula1>
    </dataValidation>
    <dataValidation type="list" allowBlank="1" showInputMessage="1" showErrorMessage="1" sqref="V9:V26">
      <formula1>$V$1:$V$2</formula1>
    </dataValidation>
    <dataValidation type="list" allowBlank="1" showInputMessage="1" showErrorMessage="1" sqref="W9:W26">
      <formula1>$W$1:$W$2</formula1>
    </dataValidation>
    <dataValidation type="list" allowBlank="1" showInputMessage="1" showErrorMessage="1" sqref="V27:V58">
      <formula1>$V$1:$V$3</formula1>
    </dataValidation>
    <dataValidation type="list" allowBlank="1" showInputMessage="1" showErrorMessage="1" sqref="W27:W58">
      <formula1>$W$1:$W$3</formula1>
    </dataValidation>
  </dataValidations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opLeftCell="A9" zoomScale="98" workbookViewId="0">
      <selection activeCell="Z33" sqref="Z33"/>
    </sheetView>
  </sheetViews>
  <sheetFormatPr defaultRowHeight="13.5" x14ac:dyDescent="0.15"/>
  <cols>
    <col min="2" max="2" width="15.625" customWidth="1"/>
    <col min="3" max="3" width="15.875" customWidth="1"/>
    <col min="4" max="4" width="12.75" hidden="1" customWidth="1"/>
    <col min="5" max="5" width="12.875" hidden="1" customWidth="1"/>
    <col min="6" max="6" width="9.875" hidden="1" customWidth="1"/>
    <col min="7" max="7" width="10.5" hidden="1" customWidth="1"/>
    <col min="8" max="8" width="13" hidden="1" customWidth="1"/>
    <col min="11" max="11" width="18.25" customWidth="1"/>
    <col min="12" max="12" width="9.375" customWidth="1"/>
    <col min="13" max="16" width="9" hidden="1" customWidth="1"/>
    <col min="19" max="22" width="9" hidden="1" customWidth="1"/>
    <col min="23" max="23" width="9.75" customWidth="1"/>
  </cols>
  <sheetData>
    <row r="1" spans="1:24" hidden="1" x14ac:dyDescent="0.15">
      <c r="C1" t="s">
        <v>127</v>
      </c>
      <c r="R1" t="s">
        <v>138</v>
      </c>
    </row>
    <row r="2" spans="1:24" hidden="1" x14ac:dyDescent="0.15">
      <c r="C2" t="s">
        <v>111</v>
      </c>
      <c r="R2" t="s">
        <v>139</v>
      </c>
    </row>
    <row r="3" spans="1:24" hidden="1" x14ac:dyDescent="0.15">
      <c r="R3" t="s">
        <v>140</v>
      </c>
    </row>
    <row r="4" spans="1:24" hidden="1" x14ac:dyDescent="0.15">
      <c r="R4" t="s">
        <v>223</v>
      </c>
    </row>
    <row r="5" spans="1:24" hidden="1" x14ac:dyDescent="0.15"/>
    <row r="6" spans="1:24" hidden="1" x14ac:dyDescent="0.15"/>
    <row r="7" spans="1:24" hidden="1" x14ac:dyDescent="0.15"/>
    <row r="8" spans="1:24" hidden="1" x14ac:dyDescent="0.15"/>
    <row r="10" spans="1:24" s="2" customFormat="1" ht="54" x14ac:dyDescent="0.15">
      <c r="A10" s="6" t="s">
        <v>122</v>
      </c>
      <c r="B10" s="6" t="s">
        <v>123</v>
      </c>
      <c r="C10" s="6" t="s">
        <v>124</v>
      </c>
      <c r="D10" s="6" t="s">
        <v>125</v>
      </c>
      <c r="E10" s="6" t="s">
        <v>126</v>
      </c>
      <c r="F10" s="6" t="s">
        <v>128</v>
      </c>
      <c r="G10" s="6" t="s">
        <v>129</v>
      </c>
      <c r="H10" s="6" t="s">
        <v>130</v>
      </c>
      <c r="I10" s="6" t="s">
        <v>132</v>
      </c>
      <c r="J10" s="6" t="s">
        <v>133</v>
      </c>
      <c r="K10" s="6" t="s">
        <v>135</v>
      </c>
      <c r="L10" s="6" t="s">
        <v>134</v>
      </c>
      <c r="M10" s="6" t="s">
        <v>136</v>
      </c>
      <c r="N10" s="6" t="s">
        <v>117</v>
      </c>
      <c r="O10" s="6" t="s">
        <v>120</v>
      </c>
      <c r="P10" s="6" t="s">
        <v>121</v>
      </c>
      <c r="Q10" s="6" t="s">
        <v>91</v>
      </c>
      <c r="R10" s="6" t="s">
        <v>145</v>
      </c>
      <c r="S10" s="6" t="s">
        <v>146</v>
      </c>
      <c r="T10" s="6" t="s">
        <v>147</v>
      </c>
      <c r="U10" s="6" t="s">
        <v>148</v>
      </c>
      <c r="V10" s="6" t="s">
        <v>224</v>
      </c>
      <c r="W10" s="6" t="s">
        <v>48</v>
      </c>
      <c r="X10" s="6" t="s">
        <v>49</v>
      </c>
    </row>
    <row r="11" spans="1:24" x14ac:dyDescent="0.15">
      <c r="A11" s="4">
        <v>0</v>
      </c>
      <c r="B11" s="13" t="s">
        <v>213</v>
      </c>
      <c r="C11" s="13" t="s">
        <v>131</v>
      </c>
      <c r="D11" s="4">
        <f>IF(C11="Reciprocating",1,0)</f>
        <v>0</v>
      </c>
      <c r="E11" s="4">
        <f>IF(C11="Centrifugal",1,0)</f>
        <v>1</v>
      </c>
      <c r="F11" s="4">
        <f>D11*Pump_Coeff!$B$2+E11*Pump_Coeff!$B$3</f>
        <v>3.5792999999999999</v>
      </c>
      <c r="G11" s="4">
        <f>D11*Pump_Coeff!$C$2+E11*Pump_Coeff!$C$3</f>
        <v>0.32079999999999997</v>
      </c>
      <c r="H11" s="4">
        <f>D11*Pump_Coeff!$D$2+E11*Pump_Coeff!$D$3</f>
        <v>2.8500000000000001E-2</v>
      </c>
      <c r="I11" s="13">
        <v>5</v>
      </c>
      <c r="J11" s="13">
        <v>2</v>
      </c>
      <c r="K11" s="15">
        <f>J11*10^(F11+G11*LOG(I11)+H11*(LOG(I11))^2)</f>
        <v>13136.616040723969</v>
      </c>
      <c r="L11" s="13">
        <v>15</v>
      </c>
      <c r="M11" s="4">
        <f t="shared" ref="M11:M30" si="0">IF(L11&lt;=10,10,L11)</f>
        <v>15</v>
      </c>
      <c r="N11" s="4">
        <f>D11*Pump_Coeff!$H$2+E11*Pump_Coeff!$H$3</f>
        <v>0.16819999999999999</v>
      </c>
      <c r="O11" s="4">
        <f>D11*Pump_Coeff!$I$2+E11*Pump_Coeff!$I$3</f>
        <v>0.34699999999999998</v>
      </c>
      <c r="P11" s="4">
        <f>D11*Pump_Coeff!$J$2+E11*Pump_Coeff!$J$3</f>
        <v>0.48409999999999997</v>
      </c>
      <c r="Q11" s="14">
        <f>N11+O11*LOG(M11)+P11*(LOG(M11))^2</f>
        <v>1.245906260376838</v>
      </c>
      <c r="R11" s="13" t="s">
        <v>137</v>
      </c>
      <c r="S11" s="4">
        <f>IF(R11="CastIron",1,0)</f>
        <v>1</v>
      </c>
      <c r="T11" s="4">
        <f>IF(R11="CastSteel",1,0)</f>
        <v>0</v>
      </c>
      <c r="U11" s="4">
        <f>IF(R11="SS",1,0)</f>
        <v>0</v>
      </c>
      <c r="V11" s="4">
        <f>IF(R11="Ni_alloy",1,0)</f>
        <v>0</v>
      </c>
      <c r="W11" s="14">
        <f>(S11*Pump_FM!$B$2+T11*Pump_FM!$C$2+U11*Pump_FM!$D$2+V11*Pump_FM!$E$2)*D11+(S11*Pump_FM!$B$3+T11*Pump_FM!$C$3+U11*Pump_FM!$D$3+V11*Pump_FM!$E$3)*E11</f>
        <v>1</v>
      </c>
      <c r="X11" s="15">
        <f t="shared" ref="X11:X30" si="1">K11*(1.8+1.51*Q11*W11)</f>
        <v>48360.067042913368</v>
      </c>
    </row>
    <row r="12" spans="1:24" x14ac:dyDescent="0.15">
      <c r="A12" s="4">
        <f>A11+1</f>
        <v>1</v>
      </c>
      <c r="B12" s="13"/>
      <c r="C12" s="13"/>
      <c r="D12" s="4">
        <f>IF(C12="Reciprocating",1,0)</f>
        <v>0</v>
      </c>
      <c r="E12" s="4">
        <f>IF(C12="Centrifugal",1,0)</f>
        <v>0</v>
      </c>
      <c r="F12" s="4">
        <f>D12*Pump_Coeff!$B$2+E12*Pump_Coeff!$B$3</f>
        <v>0</v>
      </c>
      <c r="G12" s="4">
        <f>D12*Pump_Coeff!$C$2+E12*Pump_Coeff!$C$3</f>
        <v>0</v>
      </c>
      <c r="H12" s="4">
        <f>D12*Pump_Coeff!$D$2+E12*Pump_Coeff!$D$3</f>
        <v>0</v>
      </c>
      <c r="I12" s="13">
        <v>5</v>
      </c>
      <c r="J12" s="13">
        <v>0</v>
      </c>
      <c r="K12" s="15">
        <f t="shared" ref="K12:K30" si="2">J12*10^(F12+G12*LOG(I12)+H12*(LOG(I12))^2)</f>
        <v>0</v>
      </c>
      <c r="L12" s="13">
        <v>1</v>
      </c>
      <c r="M12" s="4">
        <f t="shared" si="0"/>
        <v>10</v>
      </c>
      <c r="N12" s="4">
        <f>D12*Pump_Coeff!$H$2+E12*Pump_Coeff!$H$3</f>
        <v>0</v>
      </c>
      <c r="O12" s="4">
        <f>D12*Pump_Coeff!$I$2+E12*Pump_Coeff!$I$3</f>
        <v>0</v>
      </c>
      <c r="P12" s="4">
        <f>D12*Pump_Coeff!$J$2+E12*Pump_Coeff!$J$3</f>
        <v>0</v>
      </c>
      <c r="Q12" s="14">
        <f t="shared" ref="Q12:Q30" si="3">N12+O12*LOG(M12)+P12*(LOG(M12))^2</f>
        <v>0</v>
      </c>
      <c r="R12" s="13"/>
      <c r="S12" s="4">
        <f t="shared" ref="S12:S30" si="4">IF(R12="CastIron",1,0)</f>
        <v>0</v>
      </c>
      <c r="T12" s="4">
        <f t="shared" ref="T12:T30" si="5">IF(R12="CastSteel",1,0)</f>
        <v>0</v>
      </c>
      <c r="U12" s="4">
        <f t="shared" ref="U12:U30" si="6">IF(R12="SS",1,0)</f>
        <v>0</v>
      </c>
      <c r="V12" s="4">
        <f t="shared" ref="V12:V30" si="7">IF(R12="Ni_alloy",1,0)</f>
        <v>0</v>
      </c>
      <c r="W12" s="14">
        <f>(S12*Pump_FM!$B$2+T12*Pump_FM!$C$2+U12*Pump_FM!$D$2+V12*Pump_FM!$E$2)*D12+(S12*Pump_FM!$B$3+T12*Pump_FM!$C$3+U12*Pump_FM!$D$3+V12*Pump_FM!$E$3)*E12</f>
        <v>0</v>
      </c>
      <c r="X12" s="15">
        <f t="shared" si="1"/>
        <v>0</v>
      </c>
    </row>
    <row r="13" spans="1:24" x14ac:dyDescent="0.15">
      <c r="A13" s="4">
        <f t="shared" ref="A13:A30" si="8">A12+1</f>
        <v>2</v>
      </c>
      <c r="B13" s="13"/>
      <c r="C13" s="13"/>
      <c r="D13" s="4">
        <f t="shared" ref="D13:D30" si="9">IF(C13="Reciprocating",1,0)</f>
        <v>0</v>
      </c>
      <c r="E13" s="4">
        <f t="shared" ref="E13:E30" si="10">IF(C13="Centrifugal",1,0)</f>
        <v>0</v>
      </c>
      <c r="F13" s="4">
        <f>D13*Pump_Coeff!$B$2+E13*Pump_Coeff!$B$3</f>
        <v>0</v>
      </c>
      <c r="G13" s="4">
        <f>D13*Pump_Coeff!$C$2+E13*Pump_Coeff!$C$3</f>
        <v>0</v>
      </c>
      <c r="H13" s="4">
        <f>D13*Pump_Coeff!$D$2+E13*Pump_Coeff!$D$3</f>
        <v>0</v>
      </c>
      <c r="I13" s="13">
        <v>5</v>
      </c>
      <c r="J13" s="13">
        <v>0</v>
      </c>
      <c r="K13" s="15">
        <f t="shared" si="2"/>
        <v>0</v>
      </c>
      <c r="L13" s="13">
        <v>1</v>
      </c>
      <c r="M13" s="4">
        <f t="shared" si="0"/>
        <v>10</v>
      </c>
      <c r="N13" s="4">
        <f>D13*Pump_Coeff!$H$2+E13*Pump_Coeff!$H$3</f>
        <v>0</v>
      </c>
      <c r="O13" s="4">
        <f>D13*Pump_Coeff!$I$2+E13*Pump_Coeff!$I$3</f>
        <v>0</v>
      </c>
      <c r="P13" s="4">
        <f>D13*Pump_Coeff!$J$2+E13*Pump_Coeff!$J$3</f>
        <v>0</v>
      </c>
      <c r="Q13" s="14">
        <f t="shared" si="3"/>
        <v>0</v>
      </c>
      <c r="R13" s="13"/>
      <c r="S13" s="4">
        <f t="shared" si="4"/>
        <v>0</v>
      </c>
      <c r="T13" s="4">
        <f t="shared" si="5"/>
        <v>0</v>
      </c>
      <c r="U13" s="4">
        <f t="shared" si="6"/>
        <v>0</v>
      </c>
      <c r="V13" s="4">
        <f t="shared" si="7"/>
        <v>0</v>
      </c>
      <c r="W13" s="14">
        <f>(S13*Pump_FM!$B$2+T13*Pump_FM!$C$2+U13*Pump_FM!$D$2+V13*Pump_FM!$E$2)*D13+(S13*Pump_FM!$B$3+T13*Pump_FM!$C$3+U13*Pump_FM!$D$3+V13*Pump_FM!$E$3)*E13</f>
        <v>0</v>
      </c>
      <c r="X13" s="15">
        <f t="shared" si="1"/>
        <v>0</v>
      </c>
    </row>
    <row r="14" spans="1:24" x14ac:dyDescent="0.15">
      <c r="A14" s="4">
        <f t="shared" si="8"/>
        <v>3</v>
      </c>
      <c r="B14" s="13"/>
      <c r="C14" s="13"/>
      <c r="D14" s="4">
        <f t="shared" si="9"/>
        <v>0</v>
      </c>
      <c r="E14" s="4">
        <f t="shared" si="10"/>
        <v>0</v>
      </c>
      <c r="F14" s="4">
        <f>D14*Pump_Coeff!$B$2+E14*Pump_Coeff!$B$3</f>
        <v>0</v>
      </c>
      <c r="G14" s="4">
        <f>D14*Pump_Coeff!$C$2+E14*Pump_Coeff!$C$3</f>
        <v>0</v>
      </c>
      <c r="H14" s="4">
        <f>D14*Pump_Coeff!$D$2+E14*Pump_Coeff!$D$3</f>
        <v>0</v>
      </c>
      <c r="I14" s="13">
        <v>5</v>
      </c>
      <c r="J14" s="13">
        <v>0</v>
      </c>
      <c r="K14" s="15">
        <f t="shared" si="2"/>
        <v>0</v>
      </c>
      <c r="L14" s="13">
        <v>1</v>
      </c>
      <c r="M14" s="4">
        <f t="shared" si="0"/>
        <v>10</v>
      </c>
      <c r="N14" s="4">
        <f>D14*Pump_Coeff!$H$2+E14*Pump_Coeff!$H$3</f>
        <v>0</v>
      </c>
      <c r="O14" s="4">
        <f>D14*Pump_Coeff!$I$2+E14*Pump_Coeff!$I$3</f>
        <v>0</v>
      </c>
      <c r="P14" s="4">
        <f>D14*Pump_Coeff!$J$2+E14*Pump_Coeff!$J$3</f>
        <v>0</v>
      </c>
      <c r="Q14" s="14">
        <f t="shared" si="3"/>
        <v>0</v>
      </c>
      <c r="R14" s="13"/>
      <c r="S14" s="4">
        <f t="shared" si="4"/>
        <v>0</v>
      </c>
      <c r="T14" s="4">
        <f t="shared" si="5"/>
        <v>0</v>
      </c>
      <c r="U14" s="4">
        <f t="shared" si="6"/>
        <v>0</v>
      </c>
      <c r="V14" s="4">
        <f t="shared" si="7"/>
        <v>0</v>
      </c>
      <c r="W14" s="14">
        <f>(S14*Pump_FM!$B$2+T14*Pump_FM!$C$2+U14*Pump_FM!$D$2+V14*Pump_FM!$E$2)*D14+(S14*Pump_FM!$B$3+T14*Pump_FM!$C$3+U14*Pump_FM!$D$3+V14*Pump_FM!$E$3)*E14</f>
        <v>0</v>
      </c>
      <c r="X14" s="15">
        <f t="shared" si="1"/>
        <v>0</v>
      </c>
    </row>
    <row r="15" spans="1:24" x14ac:dyDescent="0.15">
      <c r="A15" s="4">
        <f t="shared" si="8"/>
        <v>4</v>
      </c>
      <c r="B15" s="13"/>
      <c r="C15" s="13"/>
      <c r="D15" s="4">
        <f t="shared" si="9"/>
        <v>0</v>
      </c>
      <c r="E15" s="4">
        <f t="shared" si="10"/>
        <v>0</v>
      </c>
      <c r="F15" s="4">
        <f>D15*Pump_Coeff!$B$2+E15*Pump_Coeff!$B$3</f>
        <v>0</v>
      </c>
      <c r="G15" s="4">
        <f>D15*Pump_Coeff!$C$2+E15*Pump_Coeff!$C$3</f>
        <v>0</v>
      </c>
      <c r="H15" s="4">
        <f>D15*Pump_Coeff!$D$2+E15*Pump_Coeff!$D$3</f>
        <v>0</v>
      </c>
      <c r="I15" s="13">
        <v>5</v>
      </c>
      <c r="J15" s="13">
        <v>0</v>
      </c>
      <c r="K15" s="15">
        <f t="shared" si="2"/>
        <v>0</v>
      </c>
      <c r="L15" s="13">
        <v>1</v>
      </c>
      <c r="M15" s="4">
        <f t="shared" si="0"/>
        <v>10</v>
      </c>
      <c r="N15" s="4">
        <f>D15*Pump_Coeff!$H$2+E15*Pump_Coeff!$H$3</f>
        <v>0</v>
      </c>
      <c r="O15" s="4">
        <f>D15*Pump_Coeff!$I$2+E15*Pump_Coeff!$I$3</f>
        <v>0</v>
      </c>
      <c r="P15" s="4">
        <f>D15*Pump_Coeff!$J$2+E15*Pump_Coeff!$J$3</f>
        <v>0</v>
      </c>
      <c r="Q15" s="14">
        <f t="shared" si="3"/>
        <v>0</v>
      </c>
      <c r="R15" s="13"/>
      <c r="S15" s="4">
        <f t="shared" si="4"/>
        <v>0</v>
      </c>
      <c r="T15" s="4">
        <f t="shared" si="5"/>
        <v>0</v>
      </c>
      <c r="U15" s="4">
        <f t="shared" si="6"/>
        <v>0</v>
      </c>
      <c r="V15" s="4">
        <f t="shared" si="7"/>
        <v>0</v>
      </c>
      <c r="W15" s="14">
        <f>(S15*Pump_FM!$B$2+T15*Pump_FM!$C$2+U15*Pump_FM!$D$2+V15*Pump_FM!$E$2)*D15+(S15*Pump_FM!$B$3+T15*Pump_FM!$C$3+U15*Pump_FM!$D$3+V15*Pump_FM!$E$3)*E15</f>
        <v>0</v>
      </c>
      <c r="X15" s="15">
        <f t="shared" si="1"/>
        <v>0</v>
      </c>
    </row>
    <row r="16" spans="1:24" x14ac:dyDescent="0.15">
      <c r="A16" s="4">
        <f t="shared" si="8"/>
        <v>5</v>
      </c>
      <c r="B16" s="13"/>
      <c r="C16" s="13"/>
      <c r="D16" s="4">
        <f t="shared" si="9"/>
        <v>0</v>
      </c>
      <c r="E16" s="4">
        <f t="shared" si="10"/>
        <v>0</v>
      </c>
      <c r="F16" s="4">
        <f>D16*Pump_Coeff!$B$2+E16*Pump_Coeff!$B$3</f>
        <v>0</v>
      </c>
      <c r="G16" s="4">
        <f>D16*Pump_Coeff!$C$2+E16*Pump_Coeff!$C$3</f>
        <v>0</v>
      </c>
      <c r="H16" s="4">
        <f>D16*Pump_Coeff!$D$2+E16*Pump_Coeff!$D$3</f>
        <v>0</v>
      </c>
      <c r="I16" s="13">
        <v>5</v>
      </c>
      <c r="J16" s="13">
        <v>0</v>
      </c>
      <c r="K16" s="15">
        <f t="shared" si="2"/>
        <v>0</v>
      </c>
      <c r="L16" s="13">
        <v>1</v>
      </c>
      <c r="M16" s="4">
        <f t="shared" si="0"/>
        <v>10</v>
      </c>
      <c r="N16" s="4">
        <f>D16*Pump_Coeff!$H$2+E16*Pump_Coeff!$H$3</f>
        <v>0</v>
      </c>
      <c r="O16" s="4">
        <f>D16*Pump_Coeff!$I$2+E16*Pump_Coeff!$I$3</f>
        <v>0</v>
      </c>
      <c r="P16" s="4">
        <f>D16*Pump_Coeff!$J$2+E16*Pump_Coeff!$J$3</f>
        <v>0</v>
      </c>
      <c r="Q16" s="14">
        <f t="shared" si="3"/>
        <v>0</v>
      </c>
      <c r="R16" s="13"/>
      <c r="S16" s="4">
        <f t="shared" si="4"/>
        <v>0</v>
      </c>
      <c r="T16" s="4">
        <f t="shared" si="5"/>
        <v>0</v>
      </c>
      <c r="U16" s="4">
        <f t="shared" si="6"/>
        <v>0</v>
      </c>
      <c r="V16" s="4">
        <f t="shared" si="7"/>
        <v>0</v>
      </c>
      <c r="W16" s="14">
        <f>(S16*Pump_FM!$B$2+T16*Pump_FM!$C$2+U16*Pump_FM!$D$2+V16*Pump_FM!$E$2)*D16+(S16*Pump_FM!$B$3+T16*Pump_FM!$C$3+U16*Pump_FM!$D$3+V16*Pump_FM!$E$3)*E16</f>
        <v>0</v>
      </c>
      <c r="X16" s="15">
        <f t="shared" si="1"/>
        <v>0</v>
      </c>
    </row>
    <row r="17" spans="1:24" x14ac:dyDescent="0.15">
      <c r="A17" s="4">
        <f t="shared" si="8"/>
        <v>6</v>
      </c>
      <c r="B17" s="13"/>
      <c r="C17" s="13"/>
      <c r="D17" s="4">
        <f t="shared" si="9"/>
        <v>0</v>
      </c>
      <c r="E17" s="4">
        <f t="shared" si="10"/>
        <v>0</v>
      </c>
      <c r="F17" s="4">
        <f>D17*Pump_Coeff!$B$2+E17*Pump_Coeff!$B$3</f>
        <v>0</v>
      </c>
      <c r="G17" s="4">
        <f>D17*Pump_Coeff!$C$2+E17*Pump_Coeff!$C$3</f>
        <v>0</v>
      </c>
      <c r="H17" s="4">
        <f>D17*Pump_Coeff!$D$2+E17*Pump_Coeff!$D$3</f>
        <v>0</v>
      </c>
      <c r="I17" s="13">
        <v>5</v>
      </c>
      <c r="J17" s="13">
        <v>0</v>
      </c>
      <c r="K17" s="15">
        <f t="shared" si="2"/>
        <v>0</v>
      </c>
      <c r="L17" s="13">
        <v>1</v>
      </c>
      <c r="M17" s="4">
        <f t="shared" si="0"/>
        <v>10</v>
      </c>
      <c r="N17" s="4">
        <f>D17*Pump_Coeff!$H$2+E17*Pump_Coeff!$H$3</f>
        <v>0</v>
      </c>
      <c r="O17" s="4">
        <f>D17*Pump_Coeff!$I$2+E17*Pump_Coeff!$I$3</f>
        <v>0</v>
      </c>
      <c r="P17" s="4">
        <f>D17*Pump_Coeff!$J$2+E17*Pump_Coeff!$J$3</f>
        <v>0</v>
      </c>
      <c r="Q17" s="14">
        <f t="shared" si="3"/>
        <v>0</v>
      </c>
      <c r="R17" s="13"/>
      <c r="S17" s="4">
        <f t="shared" si="4"/>
        <v>0</v>
      </c>
      <c r="T17" s="4">
        <f t="shared" si="5"/>
        <v>0</v>
      </c>
      <c r="U17" s="4">
        <f t="shared" si="6"/>
        <v>0</v>
      </c>
      <c r="V17" s="4">
        <f t="shared" si="7"/>
        <v>0</v>
      </c>
      <c r="W17" s="14">
        <f>(S17*Pump_FM!$B$2+T17*Pump_FM!$C$2+U17*Pump_FM!$D$2+V17*Pump_FM!$E$2)*D17+(S17*Pump_FM!$B$3+T17*Pump_FM!$C$3+U17*Pump_FM!$D$3+V17*Pump_FM!$E$3)*E17</f>
        <v>0</v>
      </c>
      <c r="X17" s="15">
        <f t="shared" si="1"/>
        <v>0</v>
      </c>
    </row>
    <row r="18" spans="1:24" x14ac:dyDescent="0.15">
      <c r="A18" s="4">
        <f t="shared" si="8"/>
        <v>7</v>
      </c>
      <c r="B18" s="13"/>
      <c r="C18" s="13"/>
      <c r="D18" s="4">
        <f t="shared" si="9"/>
        <v>0</v>
      </c>
      <c r="E18" s="4">
        <f t="shared" si="10"/>
        <v>0</v>
      </c>
      <c r="F18" s="4">
        <f>D18*Pump_Coeff!$B$2+E18*Pump_Coeff!$B$3</f>
        <v>0</v>
      </c>
      <c r="G18" s="4">
        <f>D18*Pump_Coeff!$C$2+E18*Pump_Coeff!$C$3</f>
        <v>0</v>
      </c>
      <c r="H18" s="4">
        <f>D18*Pump_Coeff!$D$2+E18*Pump_Coeff!$D$3</f>
        <v>0</v>
      </c>
      <c r="I18" s="13">
        <v>5</v>
      </c>
      <c r="J18" s="13">
        <v>0</v>
      </c>
      <c r="K18" s="15">
        <f t="shared" si="2"/>
        <v>0</v>
      </c>
      <c r="L18" s="13">
        <v>1</v>
      </c>
      <c r="M18" s="4">
        <f t="shared" si="0"/>
        <v>10</v>
      </c>
      <c r="N18" s="4">
        <f>D18*Pump_Coeff!$H$2+E18*Pump_Coeff!$H$3</f>
        <v>0</v>
      </c>
      <c r="O18" s="4">
        <f>D18*Pump_Coeff!$I$2+E18*Pump_Coeff!$I$3</f>
        <v>0</v>
      </c>
      <c r="P18" s="4">
        <f>D18*Pump_Coeff!$J$2+E18*Pump_Coeff!$J$3</f>
        <v>0</v>
      </c>
      <c r="Q18" s="14">
        <f t="shared" si="3"/>
        <v>0</v>
      </c>
      <c r="R18" s="13"/>
      <c r="S18" s="4">
        <f t="shared" si="4"/>
        <v>0</v>
      </c>
      <c r="T18" s="4">
        <f t="shared" si="5"/>
        <v>0</v>
      </c>
      <c r="U18" s="4">
        <f t="shared" si="6"/>
        <v>0</v>
      </c>
      <c r="V18" s="4">
        <f t="shared" si="7"/>
        <v>0</v>
      </c>
      <c r="W18" s="14">
        <f>(S18*Pump_FM!$B$2+T18*Pump_FM!$C$2+U18*Pump_FM!$D$2+V18*Pump_FM!$E$2)*D18+(S18*Pump_FM!$B$3+T18*Pump_FM!$C$3+U18*Pump_FM!$D$3+V18*Pump_FM!$E$3)*E18</f>
        <v>0</v>
      </c>
      <c r="X18" s="15">
        <f t="shared" si="1"/>
        <v>0</v>
      </c>
    </row>
    <row r="19" spans="1:24" x14ac:dyDescent="0.15">
      <c r="A19" s="4">
        <f t="shared" si="8"/>
        <v>8</v>
      </c>
      <c r="B19" s="13"/>
      <c r="C19" s="13"/>
      <c r="D19" s="4">
        <f t="shared" si="9"/>
        <v>0</v>
      </c>
      <c r="E19" s="4">
        <f t="shared" si="10"/>
        <v>0</v>
      </c>
      <c r="F19" s="4">
        <f>D19*Pump_Coeff!$B$2+E19*Pump_Coeff!$B$3</f>
        <v>0</v>
      </c>
      <c r="G19" s="4">
        <f>D19*Pump_Coeff!$C$2+E19*Pump_Coeff!$C$3</f>
        <v>0</v>
      </c>
      <c r="H19" s="4">
        <f>D19*Pump_Coeff!$D$2+E19*Pump_Coeff!$D$3</f>
        <v>0</v>
      </c>
      <c r="I19" s="13">
        <v>5</v>
      </c>
      <c r="J19" s="13">
        <v>0</v>
      </c>
      <c r="K19" s="15">
        <f t="shared" si="2"/>
        <v>0</v>
      </c>
      <c r="L19" s="13">
        <v>1</v>
      </c>
      <c r="M19" s="4">
        <f t="shared" si="0"/>
        <v>10</v>
      </c>
      <c r="N19" s="4">
        <f>D19*Pump_Coeff!$H$2+E19*Pump_Coeff!$H$3</f>
        <v>0</v>
      </c>
      <c r="O19" s="4">
        <f>D19*Pump_Coeff!$I$2+E19*Pump_Coeff!$I$3</f>
        <v>0</v>
      </c>
      <c r="P19" s="4">
        <f>D19*Pump_Coeff!$J$2+E19*Pump_Coeff!$J$3</f>
        <v>0</v>
      </c>
      <c r="Q19" s="14">
        <f t="shared" si="3"/>
        <v>0</v>
      </c>
      <c r="R19" s="13"/>
      <c r="S19" s="4">
        <f t="shared" si="4"/>
        <v>0</v>
      </c>
      <c r="T19" s="4">
        <f t="shared" si="5"/>
        <v>0</v>
      </c>
      <c r="U19" s="4">
        <f t="shared" si="6"/>
        <v>0</v>
      </c>
      <c r="V19" s="4">
        <f t="shared" si="7"/>
        <v>0</v>
      </c>
      <c r="W19" s="14">
        <f>(S19*Pump_FM!$B$2+T19*Pump_FM!$C$2+U19*Pump_FM!$D$2+V19*Pump_FM!$E$2)*D19+(S19*Pump_FM!$B$3+T19*Pump_FM!$C$3+U19*Pump_FM!$D$3+V19*Pump_FM!$E$3)*E19</f>
        <v>0</v>
      </c>
      <c r="X19" s="15">
        <f t="shared" si="1"/>
        <v>0</v>
      </c>
    </row>
    <row r="20" spans="1:24" x14ac:dyDescent="0.15">
      <c r="A20" s="4">
        <f t="shared" si="8"/>
        <v>9</v>
      </c>
      <c r="B20" s="13"/>
      <c r="C20" s="13"/>
      <c r="D20" s="4">
        <f t="shared" si="9"/>
        <v>0</v>
      </c>
      <c r="E20" s="4">
        <f t="shared" si="10"/>
        <v>0</v>
      </c>
      <c r="F20" s="4">
        <f>D20*Pump_Coeff!$B$2+E20*Pump_Coeff!$B$3</f>
        <v>0</v>
      </c>
      <c r="G20" s="4">
        <f>D20*Pump_Coeff!$C$2+E20*Pump_Coeff!$C$3</f>
        <v>0</v>
      </c>
      <c r="H20" s="4">
        <f>D20*Pump_Coeff!$D$2+E20*Pump_Coeff!$D$3</f>
        <v>0</v>
      </c>
      <c r="I20" s="13">
        <v>5</v>
      </c>
      <c r="J20" s="13">
        <v>0</v>
      </c>
      <c r="K20" s="15">
        <f t="shared" si="2"/>
        <v>0</v>
      </c>
      <c r="L20" s="13">
        <v>1</v>
      </c>
      <c r="M20" s="4">
        <f t="shared" si="0"/>
        <v>10</v>
      </c>
      <c r="N20" s="4">
        <f>D20*Pump_Coeff!$H$2+E20*Pump_Coeff!$H$3</f>
        <v>0</v>
      </c>
      <c r="O20" s="4">
        <f>D20*Pump_Coeff!$I$2+E20*Pump_Coeff!$I$3</f>
        <v>0</v>
      </c>
      <c r="P20" s="4">
        <f>D20*Pump_Coeff!$J$2+E20*Pump_Coeff!$J$3</f>
        <v>0</v>
      </c>
      <c r="Q20" s="14">
        <f t="shared" si="3"/>
        <v>0</v>
      </c>
      <c r="R20" s="13"/>
      <c r="S20" s="4">
        <f t="shared" si="4"/>
        <v>0</v>
      </c>
      <c r="T20" s="4">
        <f t="shared" si="5"/>
        <v>0</v>
      </c>
      <c r="U20" s="4">
        <f t="shared" si="6"/>
        <v>0</v>
      </c>
      <c r="V20" s="4">
        <f t="shared" si="7"/>
        <v>0</v>
      </c>
      <c r="W20" s="14">
        <f>(S20*Pump_FM!$B$2+T20*Pump_FM!$C$2+U20*Pump_FM!$D$2+V20*Pump_FM!$E$2)*D20+(S20*Pump_FM!$B$3+T20*Pump_FM!$C$3+U20*Pump_FM!$D$3+V20*Pump_FM!$E$3)*E20</f>
        <v>0</v>
      </c>
      <c r="X20" s="15">
        <f t="shared" si="1"/>
        <v>0</v>
      </c>
    </row>
    <row r="21" spans="1:24" x14ac:dyDescent="0.15">
      <c r="A21" s="4">
        <f t="shared" si="8"/>
        <v>10</v>
      </c>
      <c r="B21" s="13"/>
      <c r="C21" s="13"/>
      <c r="D21" s="4">
        <f t="shared" si="9"/>
        <v>0</v>
      </c>
      <c r="E21" s="4">
        <f t="shared" si="10"/>
        <v>0</v>
      </c>
      <c r="F21" s="4">
        <f>D21*Pump_Coeff!$B$2+E21*Pump_Coeff!$B$3</f>
        <v>0</v>
      </c>
      <c r="G21" s="4">
        <f>D21*Pump_Coeff!$C$2+E21*Pump_Coeff!$C$3</f>
        <v>0</v>
      </c>
      <c r="H21" s="4">
        <f>D21*Pump_Coeff!$D$2+E21*Pump_Coeff!$D$3</f>
        <v>0</v>
      </c>
      <c r="I21" s="13">
        <v>5</v>
      </c>
      <c r="J21" s="13">
        <v>0</v>
      </c>
      <c r="K21" s="15">
        <f t="shared" si="2"/>
        <v>0</v>
      </c>
      <c r="L21" s="13">
        <v>1</v>
      </c>
      <c r="M21" s="4">
        <f t="shared" si="0"/>
        <v>10</v>
      </c>
      <c r="N21" s="4">
        <f>D21*Pump_Coeff!$H$2+E21*Pump_Coeff!$H$3</f>
        <v>0</v>
      </c>
      <c r="O21" s="4">
        <f>D21*Pump_Coeff!$I$2+E21*Pump_Coeff!$I$3</f>
        <v>0</v>
      </c>
      <c r="P21" s="4">
        <f>D21*Pump_Coeff!$J$2+E21*Pump_Coeff!$J$3</f>
        <v>0</v>
      </c>
      <c r="Q21" s="14">
        <f t="shared" si="3"/>
        <v>0</v>
      </c>
      <c r="R21" s="13"/>
      <c r="S21" s="4">
        <f t="shared" si="4"/>
        <v>0</v>
      </c>
      <c r="T21" s="4">
        <f t="shared" si="5"/>
        <v>0</v>
      </c>
      <c r="U21" s="4">
        <f t="shared" si="6"/>
        <v>0</v>
      </c>
      <c r="V21" s="4">
        <f t="shared" si="7"/>
        <v>0</v>
      </c>
      <c r="W21" s="14">
        <f>(S21*Pump_FM!$B$2+T21*Pump_FM!$C$2+U21*Pump_FM!$D$2+V21*Pump_FM!$E$2)*D21+(S21*Pump_FM!$B$3+T21*Pump_FM!$C$3+U21*Pump_FM!$D$3+V21*Pump_FM!$E$3)*E21</f>
        <v>0</v>
      </c>
      <c r="X21" s="15">
        <f t="shared" si="1"/>
        <v>0</v>
      </c>
    </row>
    <row r="22" spans="1:24" x14ac:dyDescent="0.15">
      <c r="A22" s="4">
        <f t="shared" si="8"/>
        <v>11</v>
      </c>
      <c r="B22" s="13"/>
      <c r="C22" s="13"/>
      <c r="D22" s="4">
        <f t="shared" si="9"/>
        <v>0</v>
      </c>
      <c r="E22" s="4">
        <f t="shared" si="10"/>
        <v>0</v>
      </c>
      <c r="F22" s="4">
        <f>D22*Pump_Coeff!$B$2+E22*Pump_Coeff!$B$3</f>
        <v>0</v>
      </c>
      <c r="G22" s="4">
        <f>D22*Pump_Coeff!$C$2+E22*Pump_Coeff!$C$3</f>
        <v>0</v>
      </c>
      <c r="H22" s="4">
        <f>D22*Pump_Coeff!$D$2+E22*Pump_Coeff!$D$3</f>
        <v>0</v>
      </c>
      <c r="I22" s="13">
        <v>5</v>
      </c>
      <c r="J22" s="13">
        <v>0</v>
      </c>
      <c r="K22" s="15">
        <f t="shared" si="2"/>
        <v>0</v>
      </c>
      <c r="L22" s="13">
        <v>1</v>
      </c>
      <c r="M22" s="4">
        <f t="shared" si="0"/>
        <v>10</v>
      </c>
      <c r="N22" s="4">
        <f>D22*Pump_Coeff!$H$2+E22*Pump_Coeff!$H$3</f>
        <v>0</v>
      </c>
      <c r="O22" s="4">
        <f>D22*Pump_Coeff!$I$2+E22*Pump_Coeff!$I$3</f>
        <v>0</v>
      </c>
      <c r="P22" s="4">
        <f>D22*Pump_Coeff!$J$2+E22*Pump_Coeff!$J$3</f>
        <v>0</v>
      </c>
      <c r="Q22" s="14">
        <f t="shared" si="3"/>
        <v>0</v>
      </c>
      <c r="R22" s="13"/>
      <c r="S22" s="4">
        <f t="shared" si="4"/>
        <v>0</v>
      </c>
      <c r="T22" s="4">
        <f t="shared" si="5"/>
        <v>0</v>
      </c>
      <c r="U22" s="4">
        <f t="shared" si="6"/>
        <v>0</v>
      </c>
      <c r="V22" s="4">
        <f t="shared" si="7"/>
        <v>0</v>
      </c>
      <c r="W22" s="14">
        <f>(S22*Pump_FM!$B$2+T22*Pump_FM!$C$2+U22*Pump_FM!$D$2+V22*Pump_FM!$E$2)*D22+(S22*Pump_FM!$B$3+T22*Pump_FM!$C$3+U22*Pump_FM!$D$3+V22*Pump_FM!$E$3)*E22</f>
        <v>0</v>
      </c>
      <c r="X22" s="15">
        <f t="shared" si="1"/>
        <v>0</v>
      </c>
    </row>
    <row r="23" spans="1:24" x14ac:dyDescent="0.15">
      <c r="A23" s="4">
        <f t="shared" si="8"/>
        <v>12</v>
      </c>
      <c r="B23" s="13"/>
      <c r="C23" s="13"/>
      <c r="D23" s="4">
        <f t="shared" si="9"/>
        <v>0</v>
      </c>
      <c r="E23" s="4">
        <f t="shared" si="10"/>
        <v>0</v>
      </c>
      <c r="F23" s="4">
        <f>D23*Pump_Coeff!$B$2+E23*Pump_Coeff!$B$3</f>
        <v>0</v>
      </c>
      <c r="G23" s="4">
        <f>D23*Pump_Coeff!$C$2+E23*Pump_Coeff!$C$3</f>
        <v>0</v>
      </c>
      <c r="H23" s="4">
        <f>D23*Pump_Coeff!$D$2+E23*Pump_Coeff!$D$3</f>
        <v>0</v>
      </c>
      <c r="I23" s="13">
        <v>5</v>
      </c>
      <c r="J23" s="13">
        <v>0</v>
      </c>
      <c r="K23" s="15">
        <f t="shared" si="2"/>
        <v>0</v>
      </c>
      <c r="L23" s="13">
        <v>1</v>
      </c>
      <c r="M23" s="4">
        <f t="shared" si="0"/>
        <v>10</v>
      </c>
      <c r="N23" s="4">
        <f>D23*Pump_Coeff!$H$2+E23*Pump_Coeff!$H$3</f>
        <v>0</v>
      </c>
      <c r="O23" s="4">
        <f>D23*Pump_Coeff!$I$2+E23*Pump_Coeff!$I$3</f>
        <v>0</v>
      </c>
      <c r="P23" s="4">
        <f>D23*Pump_Coeff!$J$2+E23*Pump_Coeff!$J$3</f>
        <v>0</v>
      </c>
      <c r="Q23" s="14">
        <f t="shared" si="3"/>
        <v>0</v>
      </c>
      <c r="R23" s="13"/>
      <c r="S23" s="4">
        <f t="shared" si="4"/>
        <v>0</v>
      </c>
      <c r="T23" s="4">
        <f t="shared" si="5"/>
        <v>0</v>
      </c>
      <c r="U23" s="4">
        <f t="shared" si="6"/>
        <v>0</v>
      </c>
      <c r="V23" s="4">
        <f t="shared" si="7"/>
        <v>0</v>
      </c>
      <c r="W23" s="14">
        <f>(S23*Pump_FM!$B$2+T23*Pump_FM!$C$2+U23*Pump_FM!$D$2+V23*Pump_FM!$E$2)*D23+(S23*Pump_FM!$B$3+T23*Pump_FM!$C$3+U23*Pump_FM!$D$3+V23*Pump_FM!$E$3)*E23</f>
        <v>0</v>
      </c>
      <c r="X23" s="15">
        <f t="shared" si="1"/>
        <v>0</v>
      </c>
    </row>
    <row r="24" spans="1:24" x14ac:dyDescent="0.15">
      <c r="A24" s="4">
        <f t="shared" si="8"/>
        <v>13</v>
      </c>
      <c r="B24" s="13"/>
      <c r="C24" s="13"/>
      <c r="D24" s="4">
        <f t="shared" si="9"/>
        <v>0</v>
      </c>
      <c r="E24" s="4">
        <f t="shared" si="10"/>
        <v>0</v>
      </c>
      <c r="F24" s="4">
        <f>D24*Pump_Coeff!$B$2+E24*Pump_Coeff!$B$3</f>
        <v>0</v>
      </c>
      <c r="G24" s="4">
        <f>D24*Pump_Coeff!$C$2+E24*Pump_Coeff!$C$3</f>
        <v>0</v>
      </c>
      <c r="H24" s="4">
        <f>D24*Pump_Coeff!$D$2+E24*Pump_Coeff!$D$3</f>
        <v>0</v>
      </c>
      <c r="I24" s="13">
        <v>5</v>
      </c>
      <c r="J24" s="13">
        <v>0</v>
      </c>
      <c r="K24" s="15">
        <f t="shared" si="2"/>
        <v>0</v>
      </c>
      <c r="L24" s="13">
        <v>1</v>
      </c>
      <c r="M24" s="4">
        <f t="shared" si="0"/>
        <v>10</v>
      </c>
      <c r="N24" s="4">
        <f>D24*Pump_Coeff!$H$2+E24*Pump_Coeff!$H$3</f>
        <v>0</v>
      </c>
      <c r="O24" s="4">
        <f>D24*Pump_Coeff!$I$2+E24*Pump_Coeff!$I$3</f>
        <v>0</v>
      </c>
      <c r="P24" s="4">
        <f>D24*Pump_Coeff!$J$2+E24*Pump_Coeff!$J$3</f>
        <v>0</v>
      </c>
      <c r="Q24" s="14">
        <f t="shared" si="3"/>
        <v>0</v>
      </c>
      <c r="R24" s="13"/>
      <c r="S24" s="4">
        <f t="shared" si="4"/>
        <v>0</v>
      </c>
      <c r="T24" s="4">
        <f t="shared" si="5"/>
        <v>0</v>
      </c>
      <c r="U24" s="4">
        <f t="shared" si="6"/>
        <v>0</v>
      </c>
      <c r="V24" s="4">
        <f t="shared" si="7"/>
        <v>0</v>
      </c>
      <c r="W24" s="14">
        <f>(S24*Pump_FM!$B$2+T24*Pump_FM!$C$2+U24*Pump_FM!$D$2+V24*Pump_FM!$E$2)*D24+(S24*Pump_FM!$B$3+T24*Pump_FM!$C$3+U24*Pump_FM!$D$3+V24*Pump_FM!$E$3)*E24</f>
        <v>0</v>
      </c>
      <c r="X24" s="15">
        <f t="shared" si="1"/>
        <v>0</v>
      </c>
    </row>
    <row r="25" spans="1:24" x14ac:dyDescent="0.15">
      <c r="A25" s="4">
        <f t="shared" si="8"/>
        <v>14</v>
      </c>
      <c r="B25" s="13"/>
      <c r="C25" s="13"/>
      <c r="D25" s="4">
        <f t="shared" si="9"/>
        <v>0</v>
      </c>
      <c r="E25" s="4">
        <f t="shared" si="10"/>
        <v>0</v>
      </c>
      <c r="F25" s="4">
        <f>D25*Pump_Coeff!$B$2+E25*Pump_Coeff!$B$3</f>
        <v>0</v>
      </c>
      <c r="G25" s="4">
        <f>D25*Pump_Coeff!$C$2+E25*Pump_Coeff!$C$3</f>
        <v>0</v>
      </c>
      <c r="H25" s="4">
        <f>D25*Pump_Coeff!$D$2+E25*Pump_Coeff!$D$3</f>
        <v>0</v>
      </c>
      <c r="I25" s="13">
        <v>5</v>
      </c>
      <c r="J25" s="13">
        <v>0</v>
      </c>
      <c r="K25" s="15">
        <f t="shared" si="2"/>
        <v>0</v>
      </c>
      <c r="L25" s="13">
        <v>1</v>
      </c>
      <c r="M25" s="4">
        <f t="shared" si="0"/>
        <v>10</v>
      </c>
      <c r="N25" s="4">
        <f>D25*Pump_Coeff!$H$2+E25*Pump_Coeff!$H$3</f>
        <v>0</v>
      </c>
      <c r="O25" s="4">
        <f>D25*Pump_Coeff!$I$2+E25*Pump_Coeff!$I$3</f>
        <v>0</v>
      </c>
      <c r="P25" s="4">
        <f>D25*Pump_Coeff!$J$2+E25*Pump_Coeff!$J$3</f>
        <v>0</v>
      </c>
      <c r="Q25" s="14">
        <f t="shared" si="3"/>
        <v>0</v>
      </c>
      <c r="R25" s="13"/>
      <c r="S25" s="4">
        <f t="shared" si="4"/>
        <v>0</v>
      </c>
      <c r="T25" s="4">
        <f t="shared" si="5"/>
        <v>0</v>
      </c>
      <c r="U25" s="4">
        <f t="shared" si="6"/>
        <v>0</v>
      </c>
      <c r="V25" s="4">
        <f t="shared" si="7"/>
        <v>0</v>
      </c>
      <c r="W25" s="14">
        <f>(S25*Pump_FM!$B$2+T25*Pump_FM!$C$2+U25*Pump_FM!$D$2+V25*Pump_FM!$E$2)*D25+(S25*Pump_FM!$B$3+T25*Pump_FM!$C$3+U25*Pump_FM!$D$3+V25*Pump_FM!$E$3)*E25</f>
        <v>0</v>
      </c>
      <c r="X25" s="15">
        <f t="shared" si="1"/>
        <v>0</v>
      </c>
    </row>
    <row r="26" spans="1:24" x14ac:dyDescent="0.15">
      <c r="A26" s="4">
        <f t="shared" si="8"/>
        <v>15</v>
      </c>
      <c r="B26" s="13"/>
      <c r="C26" s="13"/>
      <c r="D26" s="4">
        <f t="shared" si="9"/>
        <v>0</v>
      </c>
      <c r="E26" s="4">
        <f t="shared" si="10"/>
        <v>0</v>
      </c>
      <c r="F26" s="4">
        <f>D26*Pump_Coeff!$B$2+E26*Pump_Coeff!$B$3</f>
        <v>0</v>
      </c>
      <c r="G26" s="4">
        <f>D26*Pump_Coeff!$C$2+E26*Pump_Coeff!$C$3</f>
        <v>0</v>
      </c>
      <c r="H26" s="4">
        <f>D26*Pump_Coeff!$D$2+E26*Pump_Coeff!$D$3</f>
        <v>0</v>
      </c>
      <c r="I26" s="13">
        <v>5</v>
      </c>
      <c r="J26" s="13">
        <v>0</v>
      </c>
      <c r="K26" s="15">
        <f t="shared" si="2"/>
        <v>0</v>
      </c>
      <c r="L26" s="13">
        <v>1</v>
      </c>
      <c r="M26" s="4">
        <f t="shared" si="0"/>
        <v>10</v>
      </c>
      <c r="N26" s="4">
        <f>D26*Pump_Coeff!$H$2+E26*Pump_Coeff!$H$3</f>
        <v>0</v>
      </c>
      <c r="O26" s="4">
        <f>D26*Pump_Coeff!$I$2+E26*Pump_Coeff!$I$3</f>
        <v>0</v>
      </c>
      <c r="P26" s="4">
        <f>D26*Pump_Coeff!$J$2+E26*Pump_Coeff!$J$3</f>
        <v>0</v>
      </c>
      <c r="Q26" s="14">
        <f t="shared" si="3"/>
        <v>0</v>
      </c>
      <c r="R26" s="13"/>
      <c r="S26" s="4">
        <f t="shared" si="4"/>
        <v>0</v>
      </c>
      <c r="T26" s="4">
        <f t="shared" si="5"/>
        <v>0</v>
      </c>
      <c r="U26" s="4">
        <f t="shared" si="6"/>
        <v>0</v>
      </c>
      <c r="V26" s="4">
        <f t="shared" si="7"/>
        <v>0</v>
      </c>
      <c r="W26" s="14">
        <f>(S26*Pump_FM!$B$2+T26*Pump_FM!$C$2+U26*Pump_FM!$D$2+V26*Pump_FM!$E$2)*D26+(S26*Pump_FM!$B$3+T26*Pump_FM!$C$3+U26*Pump_FM!$D$3+V26*Pump_FM!$E$3)*E26</f>
        <v>0</v>
      </c>
      <c r="X26" s="15">
        <f t="shared" si="1"/>
        <v>0</v>
      </c>
    </row>
    <row r="27" spans="1:24" x14ac:dyDescent="0.15">
      <c r="A27" s="4">
        <f t="shared" si="8"/>
        <v>16</v>
      </c>
      <c r="B27" s="13"/>
      <c r="C27" s="13"/>
      <c r="D27" s="4">
        <f t="shared" si="9"/>
        <v>0</v>
      </c>
      <c r="E27" s="4">
        <f t="shared" si="10"/>
        <v>0</v>
      </c>
      <c r="F27" s="4">
        <f>D27*Pump_Coeff!$B$2+E27*Pump_Coeff!$B$3</f>
        <v>0</v>
      </c>
      <c r="G27" s="4">
        <f>D27*Pump_Coeff!$C$2+E27*Pump_Coeff!$C$3</f>
        <v>0</v>
      </c>
      <c r="H27" s="4">
        <f>D27*Pump_Coeff!$D$2+E27*Pump_Coeff!$D$3</f>
        <v>0</v>
      </c>
      <c r="I27" s="13">
        <v>5</v>
      </c>
      <c r="J27" s="13">
        <v>0</v>
      </c>
      <c r="K27" s="15">
        <f t="shared" si="2"/>
        <v>0</v>
      </c>
      <c r="L27" s="13">
        <v>1</v>
      </c>
      <c r="M27" s="4">
        <f t="shared" si="0"/>
        <v>10</v>
      </c>
      <c r="N27" s="4">
        <f>D27*Pump_Coeff!$H$2+E27*Pump_Coeff!$H$3</f>
        <v>0</v>
      </c>
      <c r="O27" s="4">
        <f>D27*Pump_Coeff!$I$2+E27*Pump_Coeff!$I$3</f>
        <v>0</v>
      </c>
      <c r="P27" s="4">
        <f>D27*Pump_Coeff!$J$2+E27*Pump_Coeff!$J$3</f>
        <v>0</v>
      </c>
      <c r="Q27" s="14">
        <f t="shared" si="3"/>
        <v>0</v>
      </c>
      <c r="R27" s="13"/>
      <c r="S27" s="4">
        <f t="shared" si="4"/>
        <v>0</v>
      </c>
      <c r="T27" s="4">
        <f t="shared" si="5"/>
        <v>0</v>
      </c>
      <c r="U27" s="4">
        <f t="shared" si="6"/>
        <v>0</v>
      </c>
      <c r="V27" s="4">
        <f t="shared" si="7"/>
        <v>0</v>
      </c>
      <c r="W27" s="14">
        <f>(S27*Pump_FM!$B$2+T27*Pump_FM!$C$2+U27*Pump_FM!$D$2+V27*Pump_FM!$E$2)*D27+(S27*Pump_FM!$B$3+T27*Pump_FM!$C$3+U27*Pump_FM!$D$3+V27*Pump_FM!$E$3)*E27</f>
        <v>0</v>
      </c>
      <c r="X27" s="15">
        <f t="shared" si="1"/>
        <v>0</v>
      </c>
    </row>
    <row r="28" spans="1:24" x14ac:dyDescent="0.15">
      <c r="A28" s="4">
        <f t="shared" si="8"/>
        <v>17</v>
      </c>
      <c r="B28" s="13"/>
      <c r="C28" s="13"/>
      <c r="D28" s="4">
        <f t="shared" si="9"/>
        <v>0</v>
      </c>
      <c r="E28" s="4">
        <f t="shared" si="10"/>
        <v>0</v>
      </c>
      <c r="F28" s="4">
        <f>D28*Pump_Coeff!$B$2+E28*Pump_Coeff!$B$3</f>
        <v>0</v>
      </c>
      <c r="G28" s="4">
        <f>D28*Pump_Coeff!$C$2+E28*Pump_Coeff!$C$3</f>
        <v>0</v>
      </c>
      <c r="H28" s="4">
        <f>D28*Pump_Coeff!$D$2+E28*Pump_Coeff!$D$3</f>
        <v>0</v>
      </c>
      <c r="I28" s="13">
        <v>5</v>
      </c>
      <c r="J28" s="13">
        <v>0</v>
      </c>
      <c r="K28" s="15">
        <f t="shared" si="2"/>
        <v>0</v>
      </c>
      <c r="L28" s="13">
        <v>1</v>
      </c>
      <c r="M28" s="4">
        <f t="shared" si="0"/>
        <v>10</v>
      </c>
      <c r="N28" s="4">
        <f>D28*Pump_Coeff!$H$2+E28*Pump_Coeff!$H$3</f>
        <v>0</v>
      </c>
      <c r="O28" s="4">
        <f>D28*Pump_Coeff!$I$2+E28*Pump_Coeff!$I$3</f>
        <v>0</v>
      </c>
      <c r="P28" s="4">
        <f>D28*Pump_Coeff!$J$2+E28*Pump_Coeff!$J$3</f>
        <v>0</v>
      </c>
      <c r="Q28" s="14">
        <f t="shared" si="3"/>
        <v>0</v>
      </c>
      <c r="R28" s="13"/>
      <c r="S28" s="4">
        <f t="shared" si="4"/>
        <v>0</v>
      </c>
      <c r="T28" s="4">
        <f t="shared" si="5"/>
        <v>0</v>
      </c>
      <c r="U28" s="4">
        <f t="shared" si="6"/>
        <v>0</v>
      </c>
      <c r="V28" s="4">
        <f t="shared" si="7"/>
        <v>0</v>
      </c>
      <c r="W28" s="14">
        <f>(S28*Pump_FM!$B$2+T28*Pump_FM!$C$2+U28*Pump_FM!$D$2+V28*Pump_FM!$E$2)*D28+(S28*Pump_FM!$B$3+T28*Pump_FM!$C$3+U28*Pump_FM!$D$3+V28*Pump_FM!$E$3)*E28</f>
        <v>0</v>
      </c>
      <c r="X28" s="15">
        <f t="shared" si="1"/>
        <v>0</v>
      </c>
    </row>
    <row r="29" spans="1:24" x14ac:dyDescent="0.15">
      <c r="A29" s="4">
        <f t="shared" si="8"/>
        <v>18</v>
      </c>
      <c r="B29" s="13"/>
      <c r="C29" s="13"/>
      <c r="D29" s="4">
        <f t="shared" si="9"/>
        <v>0</v>
      </c>
      <c r="E29" s="4">
        <f t="shared" si="10"/>
        <v>0</v>
      </c>
      <c r="F29" s="4">
        <f>D29*Pump_Coeff!$B$2+E29*Pump_Coeff!$B$3</f>
        <v>0</v>
      </c>
      <c r="G29" s="4">
        <f>D29*Pump_Coeff!$C$2+E29*Pump_Coeff!$C$3</f>
        <v>0</v>
      </c>
      <c r="H29" s="4">
        <f>D29*Pump_Coeff!$D$2+E29*Pump_Coeff!$D$3</f>
        <v>0</v>
      </c>
      <c r="I29" s="13">
        <v>5</v>
      </c>
      <c r="J29" s="13">
        <v>0</v>
      </c>
      <c r="K29" s="15">
        <f t="shared" si="2"/>
        <v>0</v>
      </c>
      <c r="L29" s="13">
        <v>1</v>
      </c>
      <c r="M29" s="4">
        <f t="shared" si="0"/>
        <v>10</v>
      </c>
      <c r="N29" s="4">
        <f>D29*Pump_Coeff!$H$2+E29*Pump_Coeff!$H$3</f>
        <v>0</v>
      </c>
      <c r="O29" s="4">
        <f>D29*Pump_Coeff!$I$2+E29*Pump_Coeff!$I$3</f>
        <v>0</v>
      </c>
      <c r="P29" s="4">
        <f>D29*Pump_Coeff!$J$2+E29*Pump_Coeff!$J$3</f>
        <v>0</v>
      </c>
      <c r="Q29" s="14">
        <f t="shared" si="3"/>
        <v>0</v>
      </c>
      <c r="R29" s="13"/>
      <c r="S29" s="4">
        <f t="shared" si="4"/>
        <v>0</v>
      </c>
      <c r="T29" s="4">
        <f t="shared" si="5"/>
        <v>0</v>
      </c>
      <c r="U29" s="4">
        <f t="shared" si="6"/>
        <v>0</v>
      </c>
      <c r="V29" s="4">
        <f t="shared" si="7"/>
        <v>0</v>
      </c>
      <c r="W29" s="14">
        <f>(S29*Pump_FM!$B$2+T29*Pump_FM!$C$2+U29*Pump_FM!$D$2+V29*Pump_FM!$E$2)*D29+(S29*Pump_FM!$B$3+T29*Pump_FM!$C$3+U29*Pump_FM!$D$3+V29*Pump_FM!$E$3)*E29</f>
        <v>0</v>
      </c>
      <c r="X29" s="15">
        <f t="shared" si="1"/>
        <v>0</v>
      </c>
    </row>
    <row r="30" spans="1:24" x14ac:dyDescent="0.15">
      <c r="A30" s="4">
        <f t="shared" si="8"/>
        <v>19</v>
      </c>
      <c r="B30" s="13"/>
      <c r="C30" s="13"/>
      <c r="D30" s="4">
        <f t="shared" si="9"/>
        <v>0</v>
      </c>
      <c r="E30" s="4">
        <f t="shared" si="10"/>
        <v>0</v>
      </c>
      <c r="F30" s="4">
        <f>D30*Pump_Coeff!$B$2+E30*Pump_Coeff!$B$3</f>
        <v>0</v>
      </c>
      <c r="G30" s="4">
        <f>D30*Pump_Coeff!$C$2+E30*Pump_Coeff!$C$3</f>
        <v>0</v>
      </c>
      <c r="H30" s="4">
        <f>D30*Pump_Coeff!$D$2+E30*Pump_Coeff!$D$3</f>
        <v>0</v>
      </c>
      <c r="I30" s="13">
        <v>5</v>
      </c>
      <c r="J30" s="13">
        <v>0</v>
      </c>
      <c r="K30" s="15">
        <f t="shared" si="2"/>
        <v>0</v>
      </c>
      <c r="L30" s="13">
        <v>1</v>
      </c>
      <c r="M30" s="4">
        <f t="shared" si="0"/>
        <v>10</v>
      </c>
      <c r="N30" s="4">
        <f>D30*Pump_Coeff!$H$2+E30*Pump_Coeff!$H$3</f>
        <v>0</v>
      </c>
      <c r="O30" s="4">
        <f>D30*Pump_Coeff!$I$2+E30*Pump_Coeff!$I$3</f>
        <v>0</v>
      </c>
      <c r="P30" s="4">
        <f>D30*Pump_Coeff!$J$2+E30*Pump_Coeff!$J$3</f>
        <v>0</v>
      </c>
      <c r="Q30" s="14">
        <f t="shared" si="3"/>
        <v>0</v>
      </c>
      <c r="R30" s="13"/>
      <c r="S30" s="4">
        <f t="shared" si="4"/>
        <v>0</v>
      </c>
      <c r="T30" s="4">
        <f t="shared" si="5"/>
        <v>0</v>
      </c>
      <c r="U30" s="4">
        <f t="shared" si="6"/>
        <v>0</v>
      </c>
      <c r="V30" s="4">
        <f t="shared" si="7"/>
        <v>0</v>
      </c>
      <c r="W30" s="14">
        <f>(S30*Pump_FM!$B$2+T30*Pump_FM!$C$2+U30*Pump_FM!$D$2+V30*Pump_FM!$E$2)*D30+(S30*Pump_FM!$B$3+T30*Pump_FM!$C$3+U30*Pump_FM!$D$3+V30*Pump_FM!$E$3)*E30</f>
        <v>0</v>
      </c>
      <c r="X30" s="15">
        <f t="shared" si="1"/>
        <v>0</v>
      </c>
    </row>
    <row r="31" spans="1:24" ht="14.25" thickBot="1" x14ac:dyDescent="0.2">
      <c r="X31" s="25">
        <f>SUM(X12:X30)</f>
        <v>0</v>
      </c>
    </row>
  </sheetData>
  <phoneticPr fontId="1"/>
  <dataValidations count="2">
    <dataValidation type="list" allowBlank="1" showInputMessage="1" showErrorMessage="1" sqref="C11:C30">
      <formula1>$C$1:$C$2</formula1>
    </dataValidation>
    <dataValidation type="list" allowBlank="1" showInputMessage="1" showErrorMessage="1" sqref="R11:R30">
      <formula1>$R$1:$R$4</formula1>
    </dataValidation>
  </dataValidations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7" workbookViewId="0">
      <selection activeCell="T11" sqref="T11"/>
    </sheetView>
  </sheetViews>
  <sheetFormatPr defaultRowHeight="13.5" x14ac:dyDescent="0.15"/>
  <cols>
    <col min="2" max="2" width="14.625" customWidth="1"/>
    <col min="3" max="3" width="19.75" customWidth="1"/>
    <col min="4" max="4" width="10.75" hidden="1" customWidth="1"/>
    <col min="5" max="5" width="9.25" hidden="1" customWidth="1"/>
    <col min="6" max="8" width="0" hidden="1" customWidth="1"/>
    <col min="11" max="11" width="9.375" customWidth="1"/>
    <col min="12" max="14" width="9.375" hidden="1" customWidth="1"/>
    <col min="15" max="15" width="0" hidden="1" customWidth="1"/>
    <col min="18" max="18" width="13.75" customWidth="1"/>
  </cols>
  <sheetData>
    <row r="1" spans="1:18" x14ac:dyDescent="0.15">
      <c r="C1" t="s">
        <v>111</v>
      </c>
      <c r="K1" t="s">
        <v>16</v>
      </c>
    </row>
    <row r="2" spans="1:18" x14ac:dyDescent="0.15">
      <c r="C2" t="s">
        <v>127</v>
      </c>
      <c r="K2" t="s">
        <v>18</v>
      </c>
    </row>
    <row r="3" spans="1:18" x14ac:dyDescent="0.15">
      <c r="K3" t="s">
        <v>223</v>
      </c>
    </row>
    <row r="10" spans="1:18" s="26" customFormat="1" ht="40.5" x14ac:dyDescent="0.15">
      <c r="A10" s="6" t="s">
        <v>122</v>
      </c>
      <c r="B10" s="6" t="s">
        <v>123</v>
      </c>
      <c r="C10" s="6" t="s">
        <v>215</v>
      </c>
      <c r="D10" s="6" t="s">
        <v>142</v>
      </c>
      <c r="E10" s="6" t="s">
        <v>153</v>
      </c>
      <c r="F10" s="6" t="s">
        <v>77</v>
      </c>
      <c r="G10" s="6" t="s">
        <v>78</v>
      </c>
      <c r="H10" s="6" t="s">
        <v>79</v>
      </c>
      <c r="I10" s="6" t="s">
        <v>154</v>
      </c>
      <c r="J10" s="6" t="s">
        <v>155</v>
      </c>
      <c r="K10" s="6" t="s">
        <v>92</v>
      </c>
      <c r="L10" s="6" t="s">
        <v>16</v>
      </c>
      <c r="M10" s="6" t="s">
        <v>18</v>
      </c>
      <c r="N10" s="6"/>
      <c r="O10" s="6" t="s">
        <v>156</v>
      </c>
      <c r="P10" s="6" t="s">
        <v>157</v>
      </c>
      <c r="Q10" s="6" t="s">
        <v>158</v>
      </c>
      <c r="R10" s="6" t="s">
        <v>49</v>
      </c>
    </row>
    <row r="11" spans="1:18" x14ac:dyDescent="0.15">
      <c r="A11" s="4">
        <v>0</v>
      </c>
      <c r="B11" s="13" t="s">
        <v>213</v>
      </c>
      <c r="C11" s="13" t="s">
        <v>131</v>
      </c>
      <c r="D11" s="4">
        <f>IF(C11="Centrifugal",1,0)</f>
        <v>1</v>
      </c>
      <c r="E11" s="4">
        <f>IF(C11="Reciprocating",1,0)</f>
        <v>0</v>
      </c>
      <c r="F11" s="4">
        <f>D11*Comp_Coeff!$B$2+E11*Comp_Coeff!$B$3</f>
        <v>2.9944999999999999</v>
      </c>
      <c r="G11" s="4">
        <f>D11*Comp_Coeff!$C$2+E11*Comp_Coeff!$C$3</f>
        <v>0.95420000000000005</v>
      </c>
      <c r="H11" s="4">
        <f>D11*Comp_Coeff!$D$2+E11*Comp_Coeff!$D$3</f>
        <v>0</v>
      </c>
      <c r="I11" s="14">
        <f>D11*Comp_Coeff!$E$2+E11*Comp_Coeff!$E$3</f>
        <v>50</v>
      </c>
      <c r="J11" s="14">
        <f>D11*Comp_Coeff!$F$2+E11*Comp_Coeff!$F$3</f>
        <v>8000</v>
      </c>
      <c r="K11" s="13" t="s">
        <v>44</v>
      </c>
      <c r="L11" s="4">
        <f>IF(K11="CS",1,0)</f>
        <v>1</v>
      </c>
      <c r="M11" s="4">
        <f>IF(K11="SS",1,0)</f>
        <v>0</v>
      </c>
      <c r="N11" s="4">
        <f>IF(K11="Ni_alloy",1,0)</f>
        <v>0</v>
      </c>
      <c r="O11" s="4">
        <f>D11*(L11*Comp_Coeff!G2+M11*Comp_Coeff!H2+N11*Comp_Coeff!I2)+E11*(Comp_Coeff!G3*L11+Comp_Coeff!H3*M11+Comp_Coeff!I3*N11)</f>
        <v>2.5</v>
      </c>
      <c r="P11" s="13">
        <v>1000</v>
      </c>
      <c r="Q11" s="15">
        <f>10^(F11+G11*LOG(P11)+H11*(LOG(P11))^2)</f>
        <v>719614.65632658184</v>
      </c>
      <c r="R11" s="15">
        <f>Q11*O11</f>
        <v>1799036.6408164545</v>
      </c>
    </row>
    <row r="12" spans="1:18" x14ac:dyDescent="0.15">
      <c r="A12" s="4">
        <f>A11+1</f>
        <v>1</v>
      </c>
      <c r="B12" s="13"/>
      <c r="C12" s="13"/>
      <c r="D12" s="4">
        <f t="shared" ref="D12:D30" si="0">IF(C12="Centrifugal",1,0)</f>
        <v>0</v>
      </c>
      <c r="E12" s="4">
        <f t="shared" ref="E12:E30" si="1">IF(C12="Reciprocating",1,0)</f>
        <v>0</v>
      </c>
      <c r="F12" s="4">
        <f>D12*Comp_Coeff!$B$2+E12*Comp_Coeff!$B$3</f>
        <v>0</v>
      </c>
      <c r="G12" s="4">
        <f>D12*Comp_Coeff!$C$2+E12*Comp_Coeff!$C$3</f>
        <v>0</v>
      </c>
      <c r="H12" s="4">
        <f>D12*Comp_Coeff!$D$2+E12*Comp_Coeff!$D$3</f>
        <v>0</v>
      </c>
      <c r="I12" s="14">
        <f>D12*Comp_Coeff!$E$2+E12*Comp_Coeff!$E$3</f>
        <v>0</v>
      </c>
      <c r="J12" s="14">
        <f>D12*Comp_Coeff!$F$2+E12*Comp_Coeff!$F$3</f>
        <v>0</v>
      </c>
      <c r="K12" s="13"/>
      <c r="L12" s="4">
        <f t="shared" ref="L12:L30" si="2">IF(K12="CS",1,0)</f>
        <v>0</v>
      </c>
      <c r="M12" s="4">
        <f t="shared" ref="M12:M30" si="3">IF(K12="SS",1,0)</f>
        <v>0</v>
      </c>
      <c r="N12" s="4">
        <f t="shared" ref="N12:N30" si="4">IF(K12="Ni_alloy",1,0)</f>
        <v>0</v>
      </c>
      <c r="O12" s="4">
        <f>D12*(L12*Comp_Coeff!G3+M12*Comp_Coeff!H3+N12*Comp_Coeff!I3)+E12*(Comp_Coeff!G4*L12+Comp_Coeff!H4*M12+Comp_Coeff!I4*N12)</f>
        <v>0</v>
      </c>
      <c r="P12" s="13">
        <v>1</v>
      </c>
      <c r="Q12" s="15">
        <f t="shared" ref="Q12:Q30" si="5">10^(F12+G12*LOG(P12)+H12*(LOG(P12))^2)</f>
        <v>1</v>
      </c>
      <c r="R12" s="15">
        <f t="shared" ref="R12:R30" si="6">Q12*O12</f>
        <v>0</v>
      </c>
    </row>
    <row r="13" spans="1:18" x14ac:dyDescent="0.15">
      <c r="A13" s="4">
        <f t="shared" ref="A13:A30" si="7">A12+1</f>
        <v>2</v>
      </c>
      <c r="B13" s="13"/>
      <c r="C13" s="13"/>
      <c r="D13" s="4">
        <f t="shared" si="0"/>
        <v>0</v>
      </c>
      <c r="E13" s="4">
        <f t="shared" si="1"/>
        <v>0</v>
      </c>
      <c r="F13" s="4">
        <f>D13*Comp_Coeff!$B$2+E13*Comp_Coeff!$B$3</f>
        <v>0</v>
      </c>
      <c r="G13" s="4">
        <f>D13*Comp_Coeff!$C$2+E13*Comp_Coeff!$C$3</f>
        <v>0</v>
      </c>
      <c r="H13" s="4">
        <f>D13*Comp_Coeff!$D$2+E13*Comp_Coeff!$D$3</f>
        <v>0</v>
      </c>
      <c r="I13" s="14">
        <f>D13*Comp_Coeff!$E$2+E13*Comp_Coeff!$E$3</f>
        <v>0</v>
      </c>
      <c r="J13" s="14">
        <f>D13*Comp_Coeff!$F$2+E13*Comp_Coeff!$F$3</f>
        <v>0</v>
      </c>
      <c r="K13" s="13"/>
      <c r="L13" s="4">
        <f t="shared" si="2"/>
        <v>0</v>
      </c>
      <c r="M13" s="4">
        <f t="shared" si="3"/>
        <v>0</v>
      </c>
      <c r="N13" s="4">
        <f t="shared" si="4"/>
        <v>0</v>
      </c>
      <c r="O13" s="4">
        <f>D13*(L13*Comp_Coeff!G4+M13*Comp_Coeff!H4+N13*Comp_Coeff!I4)+E13*(Comp_Coeff!G5*L13+Comp_Coeff!H5*M13+Comp_Coeff!I5*N13)</f>
        <v>0</v>
      </c>
      <c r="P13" s="13">
        <v>1</v>
      </c>
      <c r="Q13" s="15">
        <f t="shared" si="5"/>
        <v>1</v>
      </c>
      <c r="R13" s="15">
        <f t="shared" si="6"/>
        <v>0</v>
      </c>
    </row>
    <row r="14" spans="1:18" x14ac:dyDescent="0.15">
      <c r="A14" s="4">
        <f t="shared" si="7"/>
        <v>3</v>
      </c>
      <c r="B14" s="13"/>
      <c r="C14" s="13"/>
      <c r="D14" s="4">
        <f t="shared" si="0"/>
        <v>0</v>
      </c>
      <c r="E14" s="4">
        <f t="shared" si="1"/>
        <v>0</v>
      </c>
      <c r="F14" s="4">
        <f>D14*Comp_Coeff!$B$2+E14*Comp_Coeff!$B$3</f>
        <v>0</v>
      </c>
      <c r="G14" s="4">
        <f>D14*Comp_Coeff!$C$2+E14*Comp_Coeff!$C$3</f>
        <v>0</v>
      </c>
      <c r="H14" s="4">
        <f>D14*Comp_Coeff!$D$2+E14*Comp_Coeff!$D$3</f>
        <v>0</v>
      </c>
      <c r="I14" s="14">
        <f>D14*Comp_Coeff!$E$2+E14*Comp_Coeff!$E$3</f>
        <v>0</v>
      </c>
      <c r="J14" s="14">
        <f>D14*Comp_Coeff!$F$2+E14*Comp_Coeff!$F$3</f>
        <v>0</v>
      </c>
      <c r="K14" s="13"/>
      <c r="L14" s="4">
        <f t="shared" si="2"/>
        <v>0</v>
      </c>
      <c r="M14" s="4">
        <f t="shared" si="3"/>
        <v>0</v>
      </c>
      <c r="N14" s="4">
        <f t="shared" si="4"/>
        <v>0</v>
      </c>
      <c r="O14" s="4">
        <f>D14*(L14*Comp_Coeff!G5+M14*Comp_Coeff!H5+N14*Comp_Coeff!I5)+E14*(Comp_Coeff!G6*L14+Comp_Coeff!H6*M14+Comp_Coeff!I6*N14)</f>
        <v>0</v>
      </c>
      <c r="P14" s="13">
        <v>1</v>
      </c>
      <c r="Q14" s="15">
        <f t="shared" si="5"/>
        <v>1</v>
      </c>
      <c r="R14" s="15">
        <f t="shared" si="6"/>
        <v>0</v>
      </c>
    </row>
    <row r="15" spans="1:18" x14ac:dyDescent="0.15">
      <c r="A15" s="4">
        <f t="shared" si="7"/>
        <v>4</v>
      </c>
      <c r="B15" s="13"/>
      <c r="C15" s="13"/>
      <c r="D15" s="4">
        <f t="shared" si="0"/>
        <v>0</v>
      </c>
      <c r="E15" s="4">
        <f t="shared" si="1"/>
        <v>0</v>
      </c>
      <c r="F15" s="4">
        <f>D15*Comp_Coeff!$B$2+E15*Comp_Coeff!$B$3</f>
        <v>0</v>
      </c>
      <c r="G15" s="4">
        <f>D15*Comp_Coeff!$C$2+E15*Comp_Coeff!$C$3</f>
        <v>0</v>
      </c>
      <c r="H15" s="4">
        <f>D15*Comp_Coeff!$D$2+E15*Comp_Coeff!$D$3</f>
        <v>0</v>
      </c>
      <c r="I15" s="14">
        <f>D15*Comp_Coeff!$E$2+E15*Comp_Coeff!$E$3</f>
        <v>0</v>
      </c>
      <c r="J15" s="14">
        <f>D15*Comp_Coeff!$F$2+E15*Comp_Coeff!$F$3</f>
        <v>0</v>
      </c>
      <c r="K15" s="13"/>
      <c r="L15" s="4">
        <f t="shared" si="2"/>
        <v>0</v>
      </c>
      <c r="M15" s="4">
        <f t="shared" si="3"/>
        <v>0</v>
      </c>
      <c r="N15" s="4">
        <f t="shared" si="4"/>
        <v>0</v>
      </c>
      <c r="O15" s="4">
        <f>D15*(L15*Comp_Coeff!G6+M15*Comp_Coeff!H6+N15*Comp_Coeff!I6)+E15*(Comp_Coeff!G7*L15+Comp_Coeff!H7*M15+Comp_Coeff!I7*N15)</f>
        <v>0</v>
      </c>
      <c r="P15" s="13">
        <v>1</v>
      </c>
      <c r="Q15" s="15">
        <f t="shared" si="5"/>
        <v>1</v>
      </c>
      <c r="R15" s="15">
        <f t="shared" si="6"/>
        <v>0</v>
      </c>
    </row>
    <row r="16" spans="1:18" x14ac:dyDescent="0.15">
      <c r="A16" s="4">
        <f t="shared" si="7"/>
        <v>5</v>
      </c>
      <c r="B16" s="13"/>
      <c r="C16" s="13"/>
      <c r="D16" s="4">
        <f t="shared" si="0"/>
        <v>0</v>
      </c>
      <c r="E16" s="4">
        <f t="shared" si="1"/>
        <v>0</v>
      </c>
      <c r="F16" s="4">
        <f>D16*Comp_Coeff!$B$2+E16*Comp_Coeff!$B$3</f>
        <v>0</v>
      </c>
      <c r="G16" s="4">
        <f>D16*Comp_Coeff!$C$2+E16*Comp_Coeff!$C$3</f>
        <v>0</v>
      </c>
      <c r="H16" s="4">
        <f>D16*Comp_Coeff!$D$2+E16*Comp_Coeff!$D$3</f>
        <v>0</v>
      </c>
      <c r="I16" s="14">
        <f>D16*Comp_Coeff!$E$2+E16*Comp_Coeff!$E$3</f>
        <v>0</v>
      </c>
      <c r="J16" s="14">
        <f>D16*Comp_Coeff!$F$2+E16*Comp_Coeff!$F$3</f>
        <v>0</v>
      </c>
      <c r="K16" s="13"/>
      <c r="L16" s="4">
        <f t="shared" si="2"/>
        <v>0</v>
      </c>
      <c r="M16" s="4">
        <f t="shared" si="3"/>
        <v>0</v>
      </c>
      <c r="N16" s="4">
        <f t="shared" si="4"/>
        <v>0</v>
      </c>
      <c r="O16" s="4">
        <f>D16*(L16*Comp_Coeff!G7+M16*Comp_Coeff!H7+N16*Comp_Coeff!I7)+E16*(Comp_Coeff!G8*L16+Comp_Coeff!H8*M16+Comp_Coeff!I8*N16)</f>
        <v>0</v>
      </c>
      <c r="P16" s="13">
        <v>1</v>
      </c>
      <c r="Q16" s="15">
        <f t="shared" si="5"/>
        <v>1</v>
      </c>
      <c r="R16" s="15">
        <f t="shared" si="6"/>
        <v>0</v>
      </c>
    </row>
    <row r="17" spans="1:18" x14ac:dyDescent="0.15">
      <c r="A17" s="4">
        <f t="shared" si="7"/>
        <v>6</v>
      </c>
      <c r="B17" s="13"/>
      <c r="C17" s="13"/>
      <c r="D17" s="4">
        <f t="shared" si="0"/>
        <v>0</v>
      </c>
      <c r="E17" s="4">
        <f t="shared" si="1"/>
        <v>0</v>
      </c>
      <c r="F17" s="4">
        <f>D17*Comp_Coeff!$B$2+E17*Comp_Coeff!$B$3</f>
        <v>0</v>
      </c>
      <c r="G17" s="4">
        <f>D17*Comp_Coeff!$C$2+E17*Comp_Coeff!$C$3</f>
        <v>0</v>
      </c>
      <c r="H17" s="4">
        <f>D17*Comp_Coeff!$D$2+E17*Comp_Coeff!$D$3</f>
        <v>0</v>
      </c>
      <c r="I17" s="14">
        <f>D17*Comp_Coeff!$E$2+E17*Comp_Coeff!$E$3</f>
        <v>0</v>
      </c>
      <c r="J17" s="14">
        <f>D17*Comp_Coeff!$F$2+E17*Comp_Coeff!$F$3</f>
        <v>0</v>
      </c>
      <c r="K17" s="13"/>
      <c r="L17" s="4">
        <f t="shared" si="2"/>
        <v>0</v>
      </c>
      <c r="M17" s="4">
        <f t="shared" si="3"/>
        <v>0</v>
      </c>
      <c r="N17" s="4">
        <f t="shared" si="4"/>
        <v>0</v>
      </c>
      <c r="O17" s="4">
        <f>D17*(L17*Comp_Coeff!G8+M17*Comp_Coeff!H8+N17*Comp_Coeff!I8)+E17*(Comp_Coeff!G9*L17+Comp_Coeff!H9*M17+Comp_Coeff!I9*N17)</f>
        <v>0</v>
      </c>
      <c r="P17" s="13">
        <v>1</v>
      </c>
      <c r="Q17" s="15">
        <f t="shared" si="5"/>
        <v>1</v>
      </c>
      <c r="R17" s="15">
        <f t="shared" si="6"/>
        <v>0</v>
      </c>
    </row>
    <row r="18" spans="1:18" x14ac:dyDescent="0.15">
      <c r="A18" s="4">
        <f t="shared" si="7"/>
        <v>7</v>
      </c>
      <c r="B18" s="13"/>
      <c r="C18" s="13"/>
      <c r="D18" s="4">
        <f t="shared" si="0"/>
        <v>0</v>
      </c>
      <c r="E18" s="4">
        <f t="shared" si="1"/>
        <v>0</v>
      </c>
      <c r="F18" s="4">
        <f>D18*Comp_Coeff!$B$2+E18*Comp_Coeff!$B$3</f>
        <v>0</v>
      </c>
      <c r="G18" s="4">
        <f>D18*Comp_Coeff!$C$2+E18*Comp_Coeff!$C$3</f>
        <v>0</v>
      </c>
      <c r="H18" s="4">
        <f>D18*Comp_Coeff!$D$2+E18*Comp_Coeff!$D$3</f>
        <v>0</v>
      </c>
      <c r="I18" s="14">
        <f>D18*Comp_Coeff!$E$2+E18*Comp_Coeff!$E$3</f>
        <v>0</v>
      </c>
      <c r="J18" s="14">
        <f>D18*Comp_Coeff!$F$2+E18*Comp_Coeff!$F$3</f>
        <v>0</v>
      </c>
      <c r="K18" s="13"/>
      <c r="L18" s="4">
        <f t="shared" si="2"/>
        <v>0</v>
      </c>
      <c r="M18" s="4">
        <f t="shared" si="3"/>
        <v>0</v>
      </c>
      <c r="N18" s="4">
        <f t="shared" si="4"/>
        <v>0</v>
      </c>
      <c r="O18" s="4">
        <f>D18*(L18*Comp_Coeff!G9+M18*Comp_Coeff!H9+N18*Comp_Coeff!I9)+E18*(Comp_Coeff!G10*L18+Comp_Coeff!H10*M18+Comp_Coeff!I10*N18)</f>
        <v>0</v>
      </c>
      <c r="P18" s="13">
        <v>1</v>
      </c>
      <c r="Q18" s="15">
        <f t="shared" si="5"/>
        <v>1</v>
      </c>
      <c r="R18" s="15">
        <f t="shared" si="6"/>
        <v>0</v>
      </c>
    </row>
    <row r="19" spans="1:18" x14ac:dyDescent="0.15">
      <c r="A19" s="4">
        <f t="shared" si="7"/>
        <v>8</v>
      </c>
      <c r="B19" s="13"/>
      <c r="C19" s="13"/>
      <c r="D19" s="4">
        <f t="shared" si="0"/>
        <v>0</v>
      </c>
      <c r="E19" s="4">
        <f t="shared" si="1"/>
        <v>0</v>
      </c>
      <c r="F19" s="4">
        <f>D19*Comp_Coeff!$B$2+E19*Comp_Coeff!$B$3</f>
        <v>0</v>
      </c>
      <c r="G19" s="4">
        <f>D19*Comp_Coeff!$C$2+E19*Comp_Coeff!$C$3</f>
        <v>0</v>
      </c>
      <c r="H19" s="4">
        <f>D19*Comp_Coeff!$D$2+E19*Comp_Coeff!$D$3</f>
        <v>0</v>
      </c>
      <c r="I19" s="14">
        <f>D19*Comp_Coeff!$E$2+E19*Comp_Coeff!$E$3</f>
        <v>0</v>
      </c>
      <c r="J19" s="14">
        <f>D19*Comp_Coeff!$F$2+E19*Comp_Coeff!$F$3</f>
        <v>0</v>
      </c>
      <c r="K19" s="13"/>
      <c r="L19" s="4">
        <f t="shared" si="2"/>
        <v>0</v>
      </c>
      <c r="M19" s="4">
        <f t="shared" si="3"/>
        <v>0</v>
      </c>
      <c r="N19" s="4">
        <f t="shared" si="4"/>
        <v>0</v>
      </c>
      <c r="O19" s="4">
        <f>D19*(L19*Comp_Coeff!G10+M19*Comp_Coeff!H10+N19*Comp_Coeff!I10)+E19*(Comp_Coeff!G11*L19+Comp_Coeff!H11*M19+Comp_Coeff!I11*N19)</f>
        <v>0</v>
      </c>
      <c r="P19" s="13">
        <v>1</v>
      </c>
      <c r="Q19" s="15">
        <f t="shared" si="5"/>
        <v>1</v>
      </c>
      <c r="R19" s="15">
        <f t="shared" si="6"/>
        <v>0</v>
      </c>
    </row>
    <row r="20" spans="1:18" x14ac:dyDescent="0.15">
      <c r="A20" s="4">
        <f t="shared" si="7"/>
        <v>9</v>
      </c>
      <c r="B20" s="13"/>
      <c r="C20" s="13"/>
      <c r="D20" s="4">
        <f t="shared" si="0"/>
        <v>0</v>
      </c>
      <c r="E20" s="4">
        <f t="shared" si="1"/>
        <v>0</v>
      </c>
      <c r="F20" s="4">
        <f>D20*Comp_Coeff!$B$2+E20*Comp_Coeff!$B$3</f>
        <v>0</v>
      </c>
      <c r="G20" s="4">
        <f>D20*Comp_Coeff!$C$2+E20*Comp_Coeff!$C$3</f>
        <v>0</v>
      </c>
      <c r="H20" s="4">
        <f>D20*Comp_Coeff!$D$2+E20*Comp_Coeff!$D$3</f>
        <v>0</v>
      </c>
      <c r="I20" s="14">
        <f>D20*Comp_Coeff!$E$2+E20*Comp_Coeff!$E$3</f>
        <v>0</v>
      </c>
      <c r="J20" s="14">
        <f>D20*Comp_Coeff!$F$2+E20*Comp_Coeff!$F$3</f>
        <v>0</v>
      </c>
      <c r="K20" s="13"/>
      <c r="L20" s="4">
        <f t="shared" si="2"/>
        <v>0</v>
      </c>
      <c r="M20" s="4">
        <f t="shared" si="3"/>
        <v>0</v>
      </c>
      <c r="N20" s="4">
        <f t="shared" si="4"/>
        <v>0</v>
      </c>
      <c r="O20" s="4">
        <f>D20*(L20*Comp_Coeff!G11+M20*Comp_Coeff!H11+N20*Comp_Coeff!I11)+E20*(Comp_Coeff!G12*L20+Comp_Coeff!H12*M20+Comp_Coeff!I12*N20)</f>
        <v>0</v>
      </c>
      <c r="P20" s="13">
        <v>1</v>
      </c>
      <c r="Q20" s="15">
        <f t="shared" si="5"/>
        <v>1</v>
      </c>
      <c r="R20" s="15">
        <f t="shared" si="6"/>
        <v>0</v>
      </c>
    </row>
    <row r="21" spans="1:18" x14ac:dyDescent="0.15">
      <c r="A21" s="4">
        <f t="shared" si="7"/>
        <v>10</v>
      </c>
      <c r="B21" s="13"/>
      <c r="C21" s="13"/>
      <c r="D21" s="4">
        <f t="shared" si="0"/>
        <v>0</v>
      </c>
      <c r="E21" s="4">
        <f t="shared" si="1"/>
        <v>0</v>
      </c>
      <c r="F21" s="4">
        <f>D21*Comp_Coeff!$B$2+E21*Comp_Coeff!$B$3</f>
        <v>0</v>
      </c>
      <c r="G21" s="4">
        <f>D21*Comp_Coeff!$C$2+E21*Comp_Coeff!$C$3</f>
        <v>0</v>
      </c>
      <c r="H21" s="4">
        <f>D21*Comp_Coeff!$D$2+E21*Comp_Coeff!$D$3</f>
        <v>0</v>
      </c>
      <c r="I21" s="14">
        <f>D21*Comp_Coeff!$E$2+E21*Comp_Coeff!$E$3</f>
        <v>0</v>
      </c>
      <c r="J21" s="14">
        <f>D21*Comp_Coeff!$F$2+E21*Comp_Coeff!$F$3</f>
        <v>0</v>
      </c>
      <c r="K21" s="13"/>
      <c r="L21" s="4">
        <f t="shared" si="2"/>
        <v>0</v>
      </c>
      <c r="M21" s="4">
        <f t="shared" si="3"/>
        <v>0</v>
      </c>
      <c r="N21" s="4">
        <f t="shared" si="4"/>
        <v>0</v>
      </c>
      <c r="O21" s="4">
        <f>D21*(L21*Comp_Coeff!G12+M21*Comp_Coeff!H12+N21*Comp_Coeff!I12)+E21*(Comp_Coeff!G13*L21+Comp_Coeff!H13*M21+Comp_Coeff!I13*N21)</f>
        <v>0</v>
      </c>
      <c r="P21" s="13">
        <v>1</v>
      </c>
      <c r="Q21" s="15">
        <f t="shared" si="5"/>
        <v>1</v>
      </c>
      <c r="R21" s="15">
        <f t="shared" si="6"/>
        <v>0</v>
      </c>
    </row>
    <row r="22" spans="1:18" x14ac:dyDescent="0.15">
      <c r="A22" s="4">
        <f t="shared" si="7"/>
        <v>11</v>
      </c>
      <c r="B22" s="13"/>
      <c r="C22" s="13"/>
      <c r="D22" s="4">
        <f t="shared" si="0"/>
        <v>0</v>
      </c>
      <c r="E22" s="4">
        <f t="shared" si="1"/>
        <v>0</v>
      </c>
      <c r="F22" s="4">
        <f>D22*Comp_Coeff!$B$2+E22*Comp_Coeff!$B$3</f>
        <v>0</v>
      </c>
      <c r="G22" s="4">
        <f>D22*Comp_Coeff!$C$2+E22*Comp_Coeff!$C$3</f>
        <v>0</v>
      </c>
      <c r="H22" s="4">
        <f>D22*Comp_Coeff!$D$2+E22*Comp_Coeff!$D$3</f>
        <v>0</v>
      </c>
      <c r="I22" s="14">
        <f>D22*Comp_Coeff!$E$2+E22*Comp_Coeff!$E$3</f>
        <v>0</v>
      </c>
      <c r="J22" s="14">
        <f>D22*Comp_Coeff!$F$2+E22*Comp_Coeff!$F$3</f>
        <v>0</v>
      </c>
      <c r="K22" s="13"/>
      <c r="L22" s="4">
        <f t="shared" si="2"/>
        <v>0</v>
      </c>
      <c r="M22" s="4">
        <f t="shared" si="3"/>
        <v>0</v>
      </c>
      <c r="N22" s="4">
        <f t="shared" si="4"/>
        <v>0</v>
      </c>
      <c r="O22" s="4">
        <f>D22*(L22*Comp_Coeff!G13+M22*Comp_Coeff!H13+N22*Comp_Coeff!I13)+E22*(Comp_Coeff!G14*L22+Comp_Coeff!H14*M22+Comp_Coeff!I14*N22)</f>
        <v>0</v>
      </c>
      <c r="P22" s="13">
        <v>1</v>
      </c>
      <c r="Q22" s="15">
        <f t="shared" si="5"/>
        <v>1</v>
      </c>
      <c r="R22" s="15">
        <f t="shared" si="6"/>
        <v>0</v>
      </c>
    </row>
    <row r="23" spans="1:18" x14ac:dyDescent="0.15">
      <c r="A23" s="4">
        <f t="shared" si="7"/>
        <v>12</v>
      </c>
      <c r="B23" s="13"/>
      <c r="C23" s="13"/>
      <c r="D23" s="4">
        <f t="shared" si="0"/>
        <v>0</v>
      </c>
      <c r="E23" s="4">
        <f t="shared" si="1"/>
        <v>0</v>
      </c>
      <c r="F23" s="4">
        <f>D23*Comp_Coeff!$B$2+E23*Comp_Coeff!$B$3</f>
        <v>0</v>
      </c>
      <c r="G23" s="4">
        <f>D23*Comp_Coeff!$C$2+E23*Comp_Coeff!$C$3</f>
        <v>0</v>
      </c>
      <c r="H23" s="4">
        <f>D23*Comp_Coeff!$D$2+E23*Comp_Coeff!$D$3</f>
        <v>0</v>
      </c>
      <c r="I23" s="14">
        <f>D23*Comp_Coeff!$E$2+E23*Comp_Coeff!$E$3</f>
        <v>0</v>
      </c>
      <c r="J23" s="14">
        <f>D23*Comp_Coeff!$F$2+E23*Comp_Coeff!$F$3</f>
        <v>0</v>
      </c>
      <c r="K23" s="13"/>
      <c r="L23" s="4">
        <f t="shared" si="2"/>
        <v>0</v>
      </c>
      <c r="M23" s="4">
        <f t="shared" si="3"/>
        <v>0</v>
      </c>
      <c r="N23" s="4">
        <f t="shared" si="4"/>
        <v>0</v>
      </c>
      <c r="O23" s="4">
        <f>D23*(L23*Comp_Coeff!G14+M23*Comp_Coeff!H14+N23*Comp_Coeff!I14)+E23*(Comp_Coeff!G15*L23+Comp_Coeff!H15*M23+Comp_Coeff!I15*N23)</f>
        <v>0</v>
      </c>
      <c r="P23" s="13">
        <v>1</v>
      </c>
      <c r="Q23" s="15">
        <f t="shared" si="5"/>
        <v>1</v>
      </c>
      <c r="R23" s="15">
        <f t="shared" si="6"/>
        <v>0</v>
      </c>
    </row>
    <row r="24" spans="1:18" x14ac:dyDescent="0.15">
      <c r="A24" s="4">
        <f t="shared" si="7"/>
        <v>13</v>
      </c>
      <c r="B24" s="13"/>
      <c r="C24" s="13"/>
      <c r="D24" s="4">
        <f t="shared" si="0"/>
        <v>0</v>
      </c>
      <c r="E24" s="4">
        <f t="shared" si="1"/>
        <v>0</v>
      </c>
      <c r="F24" s="4">
        <f>D24*Comp_Coeff!$B$2+E24*Comp_Coeff!$B$3</f>
        <v>0</v>
      </c>
      <c r="G24" s="4">
        <f>D24*Comp_Coeff!$C$2+E24*Comp_Coeff!$C$3</f>
        <v>0</v>
      </c>
      <c r="H24" s="4">
        <f>D24*Comp_Coeff!$D$2+E24*Comp_Coeff!$D$3</f>
        <v>0</v>
      </c>
      <c r="I24" s="14">
        <f>D24*Comp_Coeff!$E$2+E24*Comp_Coeff!$E$3</f>
        <v>0</v>
      </c>
      <c r="J24" s="14">
        <f>D24*Comp_Coeff!$F$2+E24*Comp_Coeff!$F$3</f>
        <v>0</v>
      </c>
      <c r="K24" s="13"/>
      <c r="L24" s="4">
        <f t="shared" si="2"/>
        <v>0</v>
      </c>
      <c r="M24" s="4">
        <f t="shared" si="3"/>
        <v>0</v>
      </c>
      <c r="N24" s="4">
        <f t="shared" si="4"/>
        <v>0</v>
      </c>
      <c r="O24" s="4">
        <f>D24*(L24*Comp_Coeff!G15+M24*Comp_Coeff!H15+N24*Comp_Coeff!I15)+E24*(Comp_Coeff!G16*L24+Comp_Coeff!H16*M24+Comp_Coeff!I16*N24)</f>
        <v>0</v>
      </c>
      <c r="P24" s="13">
        <v>1</v>
      </c>
      <c r="Q24" s="15">
        <f t="shared" si="5"/>
        <v>1</v>
      </c>
      <c r="R24" s="15">
        <f t="shared" si="6"/>
        <v>0</v>
      </c>
    </row>
    <row r="25" spans="1:18" x14ac:dyDescent="0.15">
      <c r="A25" s="4">
        <f t="shared" si="7"/>
        <v>14</v>
      </c>
      <c r="B25" s="13"/>
      <c r="C25" s="13"/>
      <c r="D25" s="4">
        <f t="shared" si="0"/>
        <v>0</v>
      </c>
      <c r="E25" s="4">
        <f t="shared" si="1"/>
        <v>0</v>
      </c>
      <c r="F25" s="4">
        <f>D25*Comp_Coeff!$B$2+E25*Comp_Coeff!$B$3</f>
        <v>0</v>
      </c>
      <c r="G25" s="4">
        <f>D25*Comp_Coeff!$C$2+E25*Comp_Coeff!$C$3</f>
        <v>0</v>
      </c>
      <c r="H25" s="4">
        <f>D25*Comp_Coeff!$D$2+E25*Comp_Coeff!$D$3</f>
        <v>0</v>
      </c>
      <c r="I25" s="14">
        <f>D25*Comp_Coeff!$E$2+E25*Comp_Coeff!$E$3</f>
        <v>0</v>
      </c>
      <c r="J25" s="14">
        <f>D25*Comp_Coeff!$F$2+E25*Comp_Coeff!$F$3</f>
        <v>0</v>
      </c>
      <c r="K25" s="13"/>
      <c r="L25" s="4">
        <f t="shared" si="2"/>
        <v>0</v>
      </c>
      <c r="M25" s="4">
        <f t="shared" si="3"/>
        <v>0</v>
      </c>
      <c r="N25" s="4">
        <f t="shared" si="4"/>
        <v>0</v>
      </c>
      <c r="O25" s="4">
        <f>D25*(L25*Comp_Coeff!G16+M25*Comp_Coeff!H16+N25*Comp_Coeff!I16)+E25*(Comp_Coeff!G17*L25+Comp_Coeff!H17*M25+Comp_Coeff!I17*N25)</f>
        <v>0</v>
      </c>
      <c r="P25" s="13">
        <v>1</v>
      </c>
      <c r="Q25" s="15">
        <f t="shared" si="5"/>
        <v>1</v>
      </c>
      <c r="R25" s="15">
        <f t="shared" si="6"/>
        <v>0</v>
      </c>
    </row>
    <row r="26" spans="1:18" x14ac:dyDescent="0.15">
      <c r="A26" s="4">
        <f t="shared" si="7"/>
        <v>15</v>
      </c>
      <c r="B26" s="13"/>
      <c r="C26" s="13"/>
      <c r="D26" s="4">
        <f t="shared" si="0"/>
        <v>0</v>
      </c>
      <c r="E26" s="4">
        <f t="shared" si="1"/>
        <v>0</v>
      </c>
      <c r="F26" s="4">
        <f>D26*Comp_Coeff!$B$2+E26*Comp_Coeff!$B$3</f>
        <v>0</v>
      </c>
      <c r="G26" s="4">
        <f>D26*Comp_Coeff!$C$2+E26*Comp_Coeff!$C$3</f>
        <v>0</v>
      </c>
      <c r="H26" s="4">
        <f>D26*Comp_Coeff!$D$2+E26*Comp_Coeff!$D$3</f>
        <v>0</v>
      </c>
      <c r="I26" s="14">
        <f>D26*Comp_Coeff!$E$2+E26*Comp_Coeff!$E$3</f>
        <v>0</v>
      </c>
      <c r="J26" s="14">
        <f>D26*Comp_Coeff!$F$2+E26*Comp_Coeff!$F$3</f>
        <v>0</v>
      </c>
      <c r="K26" s="13"/>
      <c r="L26" s="4">
        <f t="shared" si="2"/>
        <v>0</v>
      </c>
      <c r="M26" s="4">
        <f t="shared" si="3"/>
        <v>0</v>
      </c>
      <c r="N26" s="4">
        <f t="shared" si="4"/>
        <v>0</v>
      </c>
      <c r="O26" s="4">
        <f>D26*(L26*Comp_Coeff!G17+M26*Comp_Coeff!H17+N26*Comp_Coeff!I17)+E26*(Comp_Coeff!G18*L26+Comp_Coeff!H18*M26+Comp_Coeff!I18*N26)</f>
        <v>0</v>
      </c>
      <c r="P26" s="13">
        <v>1</v>
      </c>
      <c r="Q26" s="15">
        <f t="shared" si="5"/>
        <v>1</v>
      </c>
      <c r="R26" s="15">
        <f t="shared" si="6"/>
        <v>0</v>
      </c>
    </row>
    <row r="27" spans="1:18" x14ac:dyDescent="0.15">
      <c r="A27" s="4">
        <f t="shared" si="7"/>
        <v>16</v>
      </c>
      <c r="B27" s="13"/>
      <c r="C27" s="13"/>
      <c r="D27" s="4">
        <f t="shared" si="0"/>
        <v>0</v>
      </c>
      <c r="E27" s="4">
        <f t="shared" si="1"/>
        <v>0</v>
      </c>
      <c r="F27" s="4">
        <f>D27*Comp_Coeff!$B$2+E27*Comp_Coeff!$B$3</f>
        <v>0</v>
      </c>
      <c r="G27" s="4">
        <f>D27*Comp_Coeff!$C$2+E27*Comp_Coeff!$C$3</f>
        <v>0</v>
      </c>
      <c r="H27" s="4">
        <f>D27*Comp_Coeff!$D$2+E27*Comp_Coeff!$D$3</f>
        <v>0</v>
      </c>
      <c r="I27" s="14">
        <f>D27*Comp_Coeff!$E$2+E27*Comp_Coeff!$E$3</f>
        <v>0</v>
      </c>
      <c r="J27" s="14">
        <f>D27*Comp_Coeff!$F$2+E27*Comp_Coeff!$F$3</f>
        <v>0</v>
      </c>
      <c r="K27" s="13"/>
      <c r="L27" s="4">
        <f t="shared" si="2"/>
        <v>0</v>
      </c>
      <c r="M27" s="4">
        <f t="shared" si="3"/>
        <v>0</v>
      </c>
      <c r="N27" s="4">
        <f t="shared" si="4"/>
        <v>0</v>
      </c>
      <c r="O27" s="4">
        <f>D27*(L27*Comp_Coeff!G18+M27*Comp_Coeff!H18+N27*Comp_Coeff!I18)+E27*(Comp_Coeff!G19*L27+Comp_Coeff!H19*M27+Comp_Coeff!I19*N27)</f>
        <v>0</v>
      </c>
      <c r="P27" s="13">
        <v>1</v>
      </c>
      <c r="Q27" s="15">
        <f t="shared" si="5"/>
        <v>1</v>
      </c>
      <c r="R27" s="15">
        <f t="shared" si="6"/>
        <v>0</v>
      </c>
    </row>
    <row r="28" spans="1:18" x14ac:dyDescent="0.15">
      <c r="A28" s="4">
        <f t="shared" si="7"/>
        <v>17</v>
      </c>
      <c r="B28" s="13"/>
      <c r="C28" s="13"/>
      <c r="D28" s="4">
        <f t="shared" si="0"/>
        <v>0</v>
      </c>
      <c r="E28" s="4">
        <f t="shared" si="1"/>
        <v>0</v>
      </c>
      <c r="F28" s="4">
        <f>D28*Comp_Coeff!$B$2+E28*Comp_Coeff!$B$3</f>
        <v>0</v>
      </c>
      <c r="G28" s="4">
        <f>D28*Comp_Coeff!$C$2+E28*Comp_Coeff!$C$3</f>
        <v>0</v>
      </c>
      <c r="H28" s="4">
        <f>D28*Comp_Coeff!$D$2+E28*Comp_Coeff!$D$3</f>
        <v>0</v>
      </c>
      <c r="I28" s="14">
        <f>D28*Comp_Coeff!$E$2+E28*Comp_Coeff!$E$3</f>
        <v>0</v>
      </c>
      <c r="J28" s="14">
        <f>D28*Comp_Coeff!$F$2+E28*Comp_Coeff!$F$3</f>
        <v>0</v>
      </c>
      <c r="K28" s="13"/>
      <c r="L28" s="4">
        <f t="shared" si="2"/>
        <v>0</v>
      </c>
      <c r="M28" s="4">
        <f t="shared" si="3"/>
        <v>0</v>
      </c>
      <c r="N28" s="4">
        <f t="shared" si="4"/>
        <v>0</v>
      </c>
      <c r="O28" s="4">
        <f>D28*(L28*Comp_Coeff!G19+M28*Comp_Coeff!H19+N28*Comp_Coeff!I19)+E28*(Comp_Coeff!G20*L28+Comp_Coeff!H20*M28+Comp_Coeff!I20*N28)</f>
        <v>0</v>
      </c>
      <c r="P28" s="13">
        <v>1</v>
      </c>
      <c r="Q28" s="15">
        <f t="shared" si="5"/>
        <v>1</v>
      </c>
      <c r="R28" s="15">
        <f t="shared" si="6"/>
        <v>0</v>
      </c>
    </row>
    <row r="29" spans="1:18" x14ac:dyDescent="0.15">
      <c r="A29" s="4">
        <f t="shared" si="7"/>
        <v>18</v>
      </c>
      <c r="B29" s="13"/>
      <c r="C29" s="13"/>
      <c r="D29" s="4">
        <f t="shared" si="0"/>
        <v>0</v>
      </c>
      <c r="E29" s="4">
        <f t="shared" si="1"/>
        <v>0</v>
      </c>
      <c r="F29" s="4">
        <f>D29*Comp_Coeff!$B$2+E29*Comp_Coeff!$B$3</f>
        <v>0</v>
      </c>
      <c r="G29" s="4">
        <f>D29*Comp_Coeff!$C$2+E29*Comp_Coeff!$C$3</f>
        <v>0</v>
      </c>
      <c r="H29" s="4">
        <f>D29*Comp_Coeff!$D$2+E29*Comp_Coeff!$D$3</f>
        <v>0</v>
      </c>
      <c r="I29" s="14">
        <f>D29*Comp_Coeff!$E$2+E29*Comp_Coeff!$E$3</f>
        <v>0</v>
      </c>
      <c r="J29" s="14">
        <f>D29*Comp_Coeff!$F$2+E29*Comp_Coeff!$F$3</f>
        <v>0</v>
      </c>
      <c r="K29" s="13"/>
      <c r="L29" s="4">
        <f t="shared" si="2"/>
        <v>0</v>
      </c>
      <c r="M29" s="4">
        <f t="shared" si="3"/>
        <v>0</v>
      </c>
      <c r="N29" s="4">
        <f t="shared" si="4"/>
        <v>0</v>
      </c>
      <c r="O29" s="4">
        <f>D29*(L29*Comp_Coeff!G20+M29*Comp_Coeff!H20+N29*Comp_Coeff!I20)+E29*(Comp_Coeff!G21*L29+Comp_Coeff!H21*M29+Comp_Coeff!I21*N29)</f>
        <v>0</v>
      </c>
      <c r="P29" s="13">
        <v>1</v>
      </c>
      <c r="Q29" s="15">
        <f t="shared" si="5"/>
        <v>1</v>
      </c>
      <c r="R29" s="15">
        <f t="shared" si="6"/>
        <v>0</v>
      </c>
    </row>
    <row r="30" spans="1:18" ht="14.25" thickBot="1" x14ac:dyDescent="0.2">
      <c r="A30" s="4">
        <f t="shared" si="7"/>
        <v>19</v>
      </c>
      <c r="B30" s="13"/>
      <c r="C30" s="13"/>
      <c r="D30" s="4">
        <f t="shared" si="0"/>
        <v>0</v>
      </c>
      <c r="E30" s="4">
        <f t="shared" si="1"/>
        <v>0</v>
      </c>
      <c r="F30" s="4">
        <f>D30*Comp_Coeff!$B$2+E30*Comp_Coeff!$B$3</f>
        <v>0</v>
      </c>
      <c r="G30" s="4">
        <f>D30*Comp_Coeff!$C$2+E30*Comp_Coeff!$C$3</f>
        <v>0</v>
      </c>
      <c r="H30" s="4">
        <f>D30*Comp_Coeff!$D$2+E30*Comp_Coeff!$D$3</f>
        <v>0</v>
      </c>
      <c r="I30" s="14">
        <f>D30*Comp_Coeff!$E$2+E30*Comp_Coeff!$E$3</f>
        <v>0</v>
      </c>
      <c r="J30" s="14">
        <f>D30*Comp_Coeff!$F$2+E30*Comp_Coeff!$F$3</f>
        <v>0</v>
      </c>
      <c r="K30" s="13"/>
      <c r="L30" s="4">
        <f t="shared" si="2"/>
        <v>0</v>
      </c>
      <c r="M30" s="4">
        <f t="shared" si="3"/>
        <v>0</v>
      </c>
      <c r="N30" s="4">
        <f t="shared" si="4"/>
        <v>0</v>
      </c>
      <c r="O30" s="4">
        <f>D30*(L30*Comp_Coeff!G21+M30*Comp_Coeff!H21+N30*Comp_Coeff!I21)+E30*(Comp_Coeff!G22*L30+Comp_Coeff!H22*M30+Comp_Coeff!I22*N30)</f>
        <v>0</v>
      </c>
      <c r="P30" s="13">
        <v>1</v>
      </c>
      <c r="Q30" s="15">
        <f t="shared" si="5"/>
        <v>1</v>
      </c>
      <c r="R30" s="18">
        <f t="shared" si="6"/>
        <v>0</v>
      </c>
    </row>
    <row r="31" spans="1:18" ht="14.25" thickBot="1" x14ac:dyDescent="0.2">
      <c r="R31" s="35">
        <f>SUM(R12:R30)</f>
        <v>0</v>
      </c>
    </row>
  </sheetData>
  <phoneticPr fontId="1"/>
  <dataValidations count="2">
    <dataValidation type="list" allowBlank="1" showInputMessage="1" showErrorMessage="1" sqref="C11:C30">
      <formula1>$C$1:$C$2</formula1>
    </dataValidation>
    <dataValidation type="list" allowBlank="1" showInputMessage="1" showErrorMessage="1" sqref="K11:K30">
      <formula1>$K$1:$K$3</formula1>
    </dataValidation>
  </dataValidation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9" workbookViewId="0">
      <selection activeCell="R27" sqref="R27"/>
    </sheetView>
  </sheetViews>
  <sheetFormatPr defaultRowHeight="13.5" x14ac:dyDescent="0.15"/>
  <cols>
    <col min="2" max="2" width="14.875" customWidth="1"/>
    <col min="3" max="3" width="18.375" customWidth="1"/>
    <col min="4" max="9" width="0" hidden="1" customWidth="1"/>
    <col min="10" max="12" width="9" style="11"/>
    <col min="14" max="14" width="0" hidden="1" customWidth="1"/>
    <col min="15" max="15" width="10.625" customWidth="1"/>
  </cols>
  <sheetData>
    <row r="1" spans="1:15" hidden="1" x14ac:dyDescent="0.15">
      <c r="C1" t="s">
        <v>160</v>
      </c>
    </row>
    <row r="2" spans="1:15" hidden="1" x14ac:dyDescent="0.15">
      <c r="C2" t="s">
        <v>161</v>
      </c>
    </row>
    <row r="3" spans="1:15" hidden="1" x14ac:dyDescent="0.15">
      <c r="C3" t="s">
        <v>162</v>
      </c>
    </row>
    <row r="4" spans="1:15" hidden="1" x14ac:dyDescent="0.15"/>
    <row r="5" spans="1:15" hidden="1" x14ac:dyDescent="0.15"/>
    <row r="6" spans="1:15" hidden="1" x14ac:dyDescent="0.15"/>
    <row r="7" spans="1:15" hidden="1" x14ac:dyDescent="0.15"/>
    <row r="8" spans="1:15" hidden="1" x14ac:dyDescent="0.15"/>
    <row r="10" spans="1:15" s="2" customFormat="1" ht="40.5" x14ac:dyDescent="0.15">
      <c r="A10" s="6" t="s">
        <v>30</v>
      </c>
      <c r="B10" s="6" t="s">
        <v>19</v>
      </c>
      <c r="C10" s="6" t="s">
        <v>66</v>
      </c>
      <c r="D10" s="12" t="s">
        <v>160</v>
      </c>
      <c r="E10" s="12" t="s">
        <v>165</v>
      </c>
      <c r="F10" s="12" t="s">
        <v>166</v>
      </c>
      <c r="G10" s="12" t="s">
        <v>1</v>
      </c>
      <c r="H10" s="12" t="s">
        <v>3</v>
      </c>
      <c r="I10" s="12" t="s">
        <v>4</v>
      </c>
      <c r="J10" s="12" t="s">
        <v>167</v>
      </c>
      <c r="K10" s="12" t="s">
        <v>164</v>
      </c>
      <c r="L10" s="12" t="s">
        <v>169</v>
      </c>
      <c r="M10" s="6" t="s">
        <v>168</v>
      </c>
      <c r="N10" s="6" t="s">
        <v>156</v>
      </c>
      <c r="O10" s="6" t="s">
        <v>170</v>
      </c>
    </row>
    <row r="11" spans="1:15" x14ac:dyDescent="0.15">
      <c r="A11" s="4">
        <v>0</v>
      </c>
      <c r="B11" s="13" t="s">
        <v>213</v>
      </c>
      <c r="C11" s="13" t="s">
        <v>159</v>
      </c>
      <c r="D11" s="4">
        <f>IF(C11="Electric",1,0)</f>
        <v>1</v>
      </c>
      <c r="E11" s="4">
        <f>IF(C11="Gas Turbine",1,0)</f>
        <v>0</v>
      </c>
      <c r="F11" s="4">
        <f>IF(C11="Steam Turbine",1,0)</f>
        <v>0</v>
      </c>
      <c r="G11" s="4">
        <f>D11*DRV_Coeff!$B$2+E11*DRV_Coeff!$B$3+F11*DRV_Coeff!$B$4</f>
        <v>2.3006000000000002</v>
      </c>
      <c r="H11" s="4">
        <f>D11*DRV_Coeff!$C$2+E11*DRV_Coeff!$C$3+F11*DRV_Coeff!$C$4</f>
        <v>1.0947</v>
      </c>
      <c r="I11" s="4">
        <f>D11*DRV_Coeff!$D$2+E11*DRV_Coeff!$D$3+F11*DRV_Coeff!$D$4</f>
        <v>-0.1016</v>
      </c>
      <c r="J11" s="27">
        <f>D11*DRV_Coeff!$E$2+E11*DRV_Coeff!$E$3+F11*DRV_Coeff!$E$4</f>
        <v>3</v>
      </c>
      <c r="K11" s="27">
        <f>D11*DRV_Coeff!$F$2+E11*DRV_Coeff!$F$3+F11*DRV_Coeff!$F$4</f>
        <v>6000</v>
      </c>
      <c r="L11" s="28">
        <v>1000</v>
      </c>
      <c r="M11" s="15">
        <f>10^(G11+H11*LOG(L11)+I11*(LOG(L11))^2)</f>
        <v>46805.835289682109</v>
      </c>
      <c r="N11" s="4">
        <f>D11*DRV_Coeff!$G$2+E11*DRV_Coeff!$G$3+F11*DRV_Coeff!$G$4</f>
        <v>1.5</v>
      </c>
      <c r="O11" s="15">
        <f>N11*M11</f>
        <v>70208.75293452316</v>
      </c>
    </row>
    <row r="12" spans="1:15" x14ac:dyDescent="0.15">
      <c r="A12" s="4">
        <f>A11+1</f>
        <v>1</v>
      </c>
      <c r="B12" s="13"/>
      <c r="C12" s="13"/>
      <c r="D12" s="4">
        <f t="shared" ref="D12:D30" si="0">IF(C12="Electric",1,0)</f>
        <v>0</v>
      </c>
      <c r="E12" s="4">
        <f t="shared" ref="E12:E30" si="1">IF(C12="Gas Turbine",1,0)</f>
        <v>0</v>
      </c>
      <c r="F12" s="4">
        <f t="shared" ref="F12:F30" si="2">IF(C12="Steam Turbine",1,0)</f>
        <v>0</v>
      </c>
      <c r="G12" s="4">
        <f>D12*DRV_Coeff!$B$2+E12*DRV_Coeff!$B$3+F12*DRV_Coeff!$B$4</f>
        <v>0</v>
      </c>
      <c r="H12" s="4">
        <f>D12*DRV_Coeff!$C$2+E12*DRV_Coeff!$C$3+F12*DRV_Coeff!$C$4</f>
        <v>0</v>
      </c>
      <c r="I12" s="4">
        <f>D12*DRV_Coeff!$D$2+E12*DRV_Coeff!$D$3+F12*DRV_Coeff!$D$4</f>
        <v>0</v>
      </c>
      <c r="J12" s="27"/>
      <c r="K12" s="27"/>
      <c r="L12" s="28">
        <v>1</v>
      </c>
      <c r="M12" s="15">
        <f t="shared" ref="M12:M30" si="3">10^(G12+H12*LOG(L12)+I12*(LOG(L12))^2)</f>
        <v>1</v>
      </c>
      <c r="N12" s="4">
        <f>D12*DRV_Coeff!$G$2+E12*DRV_Coeff!$G$3+F12*DRV_Coeff!$G$4</f>
        <v>0</v>
      </c>
      <c r="O12" s="15">
        <f t="shared" ref="O12:O30" si="4">N12*M12</f>
        <v>0</v>
      </c>
    </row>
    <row r="13" spans="1:15" x14ac:dyDescent="0.15">
      <c r="A13" s="4">
        <f t="shared" ref="A13:A30" si="5">A12+1</f>
        <v>2</v>
      </c>
      <c r="B13" s="13"/>
      <c r="C13" s="13"/>
      <c r="D13" s="4">
        <f t="shared" si="0"/>
        <v>0</v>
      </c>
      <c r="E13" s="4">
        <f t="shared" si="1"/>
        <v>0</v>
      </c>
      <c r="F13" s="4">
        <f t="shared" si="2"/>
        <v>0</v>
      </c>
      <c r="G13" s="4">
        <f>D13*DRV_Coeff!$B$2+E13*DRV_Coeff!$B$3+F13*DRV_Coeff!$B$4</f>
        <v>0</v>
      </c>
      <c r="H13" s="4">
        <f>D13*DRV_Coeff!$C$2+E13*DRV_Coeff!$C$3+F13*DRV_Coeff!$C$4</f>
        <v>0</v>
      </c>
      <c r="I13" s="4">
        <f>D13*DRV_Coeff!$D$2+E13*DRV_Coeff!$D$3+F13*DRV_Coeff!$D$4</f>
        <v>0</v>
      </c>
      <c r="J13" s="27"/>
      <c r="K13" s="27"/>
      <c r="L13" s="28">
        <v>1</v>
      </c>
      <c r="M13" s="15">
        <f t="shared" si="3"/>
        <v>1</v>
      </c>
      <c r="N13" s="4">
        <f>D13*DRV_Coeff!$G$2+E13*DRV_Coeff!$G$3+F13*DRV_Coeff!$G$4</f>
        <v>0</v>
      </c>
      <c r="O13" s="15">
        <f t="shared" si="4"/>
        <v>0</v>
      </c>
    </row>
    <row r="14" spans="1:15" x14ac:dyDescent="0.15">
      <c r="A14" s="4">
        <f t="shared" si="5"/>
        <v>3</v>
      </c>
      <c r="B14" s="13"/>
      <c r="C14" s="13"/>
      <c r="D14" s="4">
        <f t="shared" si="0"/>
        <v>0</v>
      </c>
      <c r="E14" s="4">
        <f t="shared" si="1"/>
        <v>0</v>
      </c>
      <c r="F14" s="4">
        <f t="shared" si="2"/>
        <v>0</v>
      </c>
      <c r="G14" s="4">
        <f>D14*DRV_Coeff!$B$2+E14*DRV_Coeff!$B$3+F14*DRV_Coeff!$B$4</f>
        <v>0</v>
      </c>
      <c r="H14" s="4">
        <f>D14*DRV_Coeff!$C$2+E14*DRV_Coeff!$C$3+F14*DRV_Coeff!$C$4</f>
        <v>0</v>
      </c>
      <c r="I14" s="4">
        <f>D14*DRV_Coeff!$D$2+E14*DRV_Coeff!$D$3+F14*DRV_Coeff!$D$4</f>
        <v>0</v>
      </c>
      <c r="J14" s="27"/>
      <c r="K14" s="27"/>
      <c r="L14" s="28">
        <v>1</v>
      </c>
      <c r="M14" s="15">
        <f t="shared" si="3"/>
        <v>1</v>
      </c>
      <c r="N14" s="4">
        <f>D14*DRV_Coeff!$G$2+E14*DRV_Coeff!$G$3+F14*DRV_Coeff!$G$4</f>
        <v>0</v>
      </c>
      <c r="O14" s="15">
        <f t="shared" si="4"/>
        <v>0</v>
      </c>
    </row>
    <row r="15" spans="1:15" x14ac:dyDescent="0.15">
      <c r="A15" s="4">
        <f t="shared" si="5"/>
        <v>4</v>
      </c>
      <c r="B15" s="13"/>
      <c r="C15" s="13"/>
      <c r="D15" s="4">
        <f t="shared" si="0"/>
        <v>0</v>
      </c>
      <c r="E15" s="4">
        <f t="shared" si="1"/>
        <v>0</v>
      </c>
      <c r="F15" s="4">
        <f t="shared" si="2"/>
        <v>0</v>
      </c>
      <c r="G15" s="4">
        <f>D15*DRV_Coeff!$B$2+E15*DRV_Coeff!$B$3+F15*DRV_Coeff!$B$4</f>
        <v>0</v>
      </c>
      <c r="H15" s="4">
        <f>D15*DRV_Coeff!$C$2+E15*DRV_Coeff!$C$3+F15*DRV_Coeff!$C$4</f>
        <v>0</v>
      </c>
      <c r="I15" s="4">
        <f>D15*DRV_Coeff!$D$2+E15*DRV_Coeff!$D$3+F15*DRV_Coeff!$D$4</f>
        <v>0</v>
      </c>
      <c r="J15" s="27"/>
      <c r="K15" s="27"/>
      <c r="L15" s="28">
        <v>1</v>
      </c>
      <c r="M15" s="15">
        <f t="shared" si="3"/>
        <v>1</v>
      </c>
      <c r="N15" s="4">
        <f>D15*DRV_Coeff!$G$2+E15*DRV_Coeff!$G$3+F15*DRV_Coeff!$G$4</f>
        <v>0</v>
      </c>
      <c r="O15" s="15">
        <f t="shared" si="4"/>
        <v>0</v>
      </c>
    </row>
    <row r="16" spans="1:15" x14ac:dyDescent="0.15">
      <c r="A16" s="4">
        <f t="shared" si="5"/>
        <v>5</v>
      </c>
      <c r="B16" s="13"/>
      <c r="C16" s="13"/>
      <c r="D16" s="4">
        <f t="shared" si="0"/>
        <v>0</v>
      </c>
      <c r="E16" s="4">
        <f t="shared" si="1"/>
        <v>0</v>
      </c>
      <c r="F16" s="4">
        <f t="shared" si="2"/>
        <v>0</v>
      </c>
      <c r="G16" s="4">
        <f>D16*DRV_Coeff!$B$2+E16*DRV_Coeff!$B$3+F16*DRV_Coeff!$B$4</f>
        <v>0</v>
      </c>
      <c r="H16" s="4">
        <f>D16*DRV_Coeff!$C$2+E16*DRV_Coeff!$C$3+F16*DRV_Coeff!$C$4</f>
        <v>0</v>
      </c>
      <c r="I16" s="4">
        <f>D16*DRV_Coeff!$D$2+E16*DRV_Coeff!$D$3+F16*DRV_Coeff!$D$4</f>
        <v>0</v>
      </c>
      <c r="J16" s="27"/>
      <c r="K16" s="27"/>
      <c r="L16" s="28">
        <v>1</v>
      </c>
      <c r="M16" s="15">
        <f t="shared" si="3"/>
        <v>1</v>
      </c>
      <c r="N16" s="4">
        <f>D16*DRV_Coeff!$G$2+E16*DRV_Coeff!$G$3+F16*DRV_Coeff!$G$4</f>
        <v>0</v>
      </c>
      <c r="O16" s="15">
        <f t="shared" si="4"/>
        <v>0</v>
      </c>
    </row>
    <row r="17" spans="1:15" x14ac:dyDescent="0.15">
      <c r="A17" s="4">
        <f t="shared" si="5"/>
        <v>6</v>
      </c>
      <c r="B17" s="13"/>
      <c r="C17" s="13"/>
      <c r="D17" s="4">
        <f t="shared" si="0"/>
        <v>0</v>
      </c>
      <c r="E17" s="4">
        <f t="shared" si="1"/>
        <v>0</v>
      </c>
      <c r="F17" s="4">
        <f t="shared" si="2"/>
        <v>0</v>
      </c>
      <c r="G17" s="4">
        <f>D17*DRV_Coeff!$B$2+E17*DRV_Coeff!$B$3+F17*DRV_Coeff!$B$4</f>
        <v>0</v>
      </c>
      <c r="H17" s="4">
        <f>D17*DRV_Coeff!$C$2+E17*DRV_Coeff!$C$3+F17*DRV_Coeff!$C$4</f>
        <v>0</v>
      </c>
      <c r="I17" s="4">
        <f>D17*DRV_Coeff!$D$2+E17*DRV_Coeff!$D$3+F17*DRV_Coeff!$D$4</f>
        <v>0</v>
      </c>
      <c r="J17" s="27"/>
      <c r="K17" s="27"/>
      <c r="L17" s="28">
        <v>1</v>
      </c>
      <c r="M17" s="15">
        <f t="shared" si="3"/>
        <v>1</v>
      </c>
      <c r="N17" s="4">
        <f>D17*DRV_Coeff!$G$2+E17*DRV_Coeff!$G$3+F17*DRV_Coeff!$G$4</f>
        <v>0</v>
      </c>
      <c r="O17" s="15">
        <f t="shared" si="4"/>
        <v>0</v>
      </c>
    </row>
    <row r="18" spans="1:15" x14ac:dyDescent="0.15">
      <c r="A18" s="4">
        <f t="shared" si="5"/>
        <v>7</v>
      </c>
      <c r="B18" s="13"/>
      <c r="C18" s="13"/>
      <c r="D18" s="4">
        <f t="shared" si="0"/>
        <v>0</v>
      </c>
      <c r="E18" s="4">
        <f t="shared" si="1"/>
        <v>0</v>
      </c>
      <c r="F18" s="4">
        <f t="shared" si="2"/>
        <v>0</v>
      </c>
      <c r="G18" s="4">
        <f>D18*DRV_Coeff!$B$2+E18*DRV_Coeff!$B$3+F18*DRV_Coeff!$B$4</f>
        <v>0</v>
      </c>
      <c r="H18" s="4">
        <f>D18*DRV_Coeff!$C$2+E18*DRV_Coeff!$C$3+F18*DRV_Coeff!$C$4</f>
        <v>0</v>
      </c>
      <c r="I18" s="4">
        <f>D18*DRV_Coeff!$D$2+E18*DRV_Coeff!$D$3+F18*DRV_Coeff!$D$4</f>
        <v>0</v>
      </c>
      <c r="J18" s="27"/>
      <c r="K18" s="27"/>
      <c r="L18" s="28">
        <v>1</v>
      </c>
      <c r="M18" s="15">
        <f t="shared" si="3"/>
        <v>1</v>
      </c>
      <c r="N18" s="4">
        <f>D18*DRV_Coeff!$G$2+E18*DRV_Coeff!$G$3+F18*DRV_Coeff!$G$4</f>
        <v>0</v>
      </c>
      <c r="O18" s="15">
        <f t="shared" si="4"/>
        <v>0</v>
      </c>
    </row>
    <row r="19" spans="1:15" x14ac:dyDescent="0.15">
      <c r="A19" s="4">
        <f t="shared" si="5"/>
        <v>8</v>
      </c>
      <c r="B19" s="13"/>
      <c r="C19" s="13"/>
      <c r="D19" s="4">
        <f t="shared" si="0"/>
        <v>0</v>
      </c>
      <c r="E19" s="4">
        <f t="shared" si="1"/>
        <v>0</v>
      </c>
      <c r="F19" s="4">
        <f t="shared" si="2"/>
        <v>0</v>
      </c>
      <c r="G19" s="4">
        <f>D19*DRV_Coeff!$B$2+E19*DRV_Coeff!$B$3+F19*DRV_Coeff!$B$4</f>
        <v>0</v>
      </c>
      <c r="H19" s="4">
        <f>D19*DRV_Coeff!$C$2+E19*DRV_Coeff!$C$3+F19*DRV_Coeff!$C$4</f>
        <v>0</v>
      </c>
      <c r="I19" s="4">
        <f>D19*DRV_Coeff!$D$2+E19*DRV_Coeff!$D$3+F19*DRV_Coeff!$D$4</f>
        <v>0</v>
      </c>
      <c r="J19" s="27"/>
      <c r="K19" s="27"/>
      <c r="L19" s="28">
        <v>1</v>
      </c>
      <c r="M19" s="15">
        <f t="shared" si="3"/>
        <v>1</v>
      </c>
      <c r="N19" s="4">
        <f>D19*DRV_Coeff!$G$2+E19*DRV_Coeff!$G$3+F19*DRV_Coeff!$G$4</f>
        <v>0</v>
      </c>
      <c r="O19" s="15">
        <f t="shared" si="4"/>
        <v>0</v>
      </c>
    </row>
    <row r="20" spans="1:15" x14ac:dyDescent="0.15">
      <c r="A20" s="4">
        <f t="shared" si="5"/>
        <v>9</v>
      </c>
      <c r="B20" s="13"/>
      <c r="C20" s="13"/>
      <c r="D20" s="4">
        <f t="shared" si="0"/>
        <v>0</v>
      </c>
      <c r="E20" s="4">
        <f t="shared" si="1"/>
        <v>0</v>
      </c>
      <c r="F20" s="4">
        <f t="shared" si="2"/>
        <v>0</v>
      </c>
      <c r="G20" s="4">
        <f>D20*DRV_Coeff!$B$2+E20*DRV_Coeff!$B$3+F20*DRV_Coeff!$B$4</f>
        <v>0</v>
      </c>
      <c r="H20" s="4">
        <f>D20*DRV_Coeff!$C$2+E20*DRV_Coeff!$C$3+F20*DRV_Coeff!$C$4</f>
        <v>0</v>
      </c>
      <c r="I20" s="4">
        <f>D20*DRV_Coeff!$D$2+E20*DRV_Coeff!$D$3+F20*DRV_Coeff!$D$4</f>
        <v>0</v>
      </c>
      <c r="J20" s="27"/>
      <c r="K20" s="27"/>
      <c r="L20" s="28">
        <v>1</v>
      </c>
      <c r="M20" s="15">
        <f t="shared" si="3"/>
        <v>1</v>
      </c>
      <c r="N20" s="4">
        <f>D20*DRV_Coeff!$G$2+E20*DRV_Coeff!$G$3+F20*DRV_Coeff!$G$4</f>
        <v>0</v>
      </c>
      <c r="O20" s="15">
        <f t="shared" si="4"/>
        <v>0</v>
      </c>
    </row>
    <row r="21" spans="1:15" x14ac:dyDescent="0.15">
      <c r="A21" s="4">
        <f t="shared" si="5"/>
        <v>10</v>
      </c>
      <c r="B21" s="13"/>
      <c r="C21" s="13"/>
      <c r="D21" s="4">
        <f t="shared" si="0"/>
        <v>0</v>
      </c>
      <c r="E21" s="4">
        <f t="shared" si="1"/>
        <v>0</v>
      </c>
      <c r="F21" s="4">
        <f t="shared" si="2"/>
        <v>0</v>
      </c>
      <c r="G21" s="4">
        <f>D21*DRV_Coeff!$B$2+E21*DRV_Coeff!$B$3+F21*DRV_Coeff!$B$4</f>
        <v>0</v>
      </c>
      <c r="H21" s="4">
        <f>D21*DRV_Coeff!$C$2+E21*DRV_Coeff!$C$3+F21*DRV_Coeff!$C$4</f>
        <v>0</v>
      </c>
      <c r="I21" s="4">
        <f>D21*DRV_Coeff!$D$2+E21*DRV_Coeff!$D$3+F21*DRV_Coeff!$D$4</f>
        <v>0</v>
      </c>
      <c r="J21" s="27"/>
      <c r="K21" s="27"/>
      <c r="L21" s="28">
        <v>1</v>
      </c>
      <c r="M21" s="15">
        <f t="shared" si="3"/>
        <v>1</v>
      </c>
      <c r="N21" s="4">
        <f>D21*DRV_Coeff!$G$2+E21*DRV_Coeff!$G$3+F21*DRV_Coeff!$G$4</f>
        <v>0</v>
      </c>
      <c r="O21" s="15">
        <f t="shared" si="4"/>
        <v>0</v>
      </c>
    </row>
    <row r="22" spans="1:15" x14ac:dyDescent="0.15">
      <c r="A22" s="4">
        <f t="shared" si="5"/>
        <v>11</v>
      </c>
      <c r="B22" s="13"/>
      <c r="C22" s="13"/>
      <c r="D22" s="4">
        <f t="shared" si="0"/>
        <v>0</v>
      </c>
      <c r="E22" s="4">
        <f t="shared" si="1"/>
        <v>0</v>
      </c>
      <c r="F22" s="4">
        <f t="shared" si="2"/>
        <v>0</v>
      </c>
      <c r="G22" s="4">
        <f>D22*DRV_Coeff!$B$2+E22*DRV_Coeff!$B$3+F22*DRV_Coeff!$B$4</f>
        <v>0</v>
      </c>
      <c r="H22" s="4">
        <f>D22*DRV_Coeff!$C$2+E22*DRV_Coeff!$C$3+F22*DRV_Coeff!$C$4</f>
        <v>0</v>
      </c>
      <c r="I22" s="4">
        <f>D22*DRV_Coeff!$D$2+E22*DRV_Coeff!$D$3+F22*DRV_Coeff!$D$4</f>
        <v>0</v>
      </c>
      <c r="J22" s="27"/>
      <c r="K22" s="27"/>
      <c r="L22" s="28">
        <v>1</v>
      </c>
      <c r="M22" s="15">
        <f t="shared" si="3"/>
        <v>1</v>
      </c>
      <c r="N22" s="4">
        <f>D22*DRV_Coeff!$G$2+E22*DRV_Coeff!$G$3+F22*DRV_Coeff!$G$4</f>
        <v>0</v>
      </c>
      <c r="O22" s="15">
        <f t="shared" si="4"/>
        <v>0</v>
      </c>
    </row>
    <row r="23" spans="1:15" x14ac:dyDescent="0.15">
      <c r="A23" s="4">
        <f t="shared" si="5"/>
        <v>12</v>
      </c>
      <c r="B23" s="13"/>
      <c r="C23" s="13"/>
      <c r="D23" s="4">
        <f t="shared" si="0"/>
        <v>0</v>
      </c>
      <c r="E23" s="4">
        <f t="shared" si="1"/>
        <v>0</v>
      </c>
      <c r="F23" s="4">
        <f t="shared" si="2"/>
        <v>0</v>
      </c>
      <c r="G23" s="4">
        <f>D23*DRV_Coeff!$B$2+E23*DRV_Coeff!$B$3+F23*DRV_Coeff!$B$4</f>
        <v>0</v>
      </c>
      <c r="H23" s="4">
        <f>D23*DRV_Coeff!$C$2+E23*DRV_Coeff!$C$3+F23*DRV_Coeff!$C$4</f>
        <v>0</v>
      </c>
      <c r="I23" s="4">
        <f>D23*DRV_Coeff!$D$2+E23*DRV_Coeff!$D$3+F23*DRV_Coeff!$D$4</f>
        <v>0</v>
      </c>
      <c r="J23" s="27"/>
      <c r="K23" s="27"/>
      <c r="L23" s="28">
        <v>1</v>
      </c>
      <c r="M23" s="15">
        <f t="shared" si="3"/>
        <v>1</v>
      </c>
      <c r="N23" s="4">
        <f>D23*DRV_Coeff!$G$2+E23*DRV_Coeff!$G$3+F23*DRV_Coeff!$G$4</f>
        <v>0</v>
      </c>
      <c r="O23" s="15">
        <f t="shared" si="4"/>
        <v>0</v>
      </c>
    </row>
    <row r="24" spans="1:15" x14ac:dyDescent="0.15">
      <c r="A24" s="4">
        <f t="shared" si="5"/>
        <v>13</v>
      </c>
      <c r="B24" s="13"/>
      <c r="C24" s="13"/>
      <c r="D24" s="4">
        <f t="shared" si="0"/>
        <v>0</v>
      </c>
      <c r="E24" s="4">
        <f t="shared" si="1"/>
        <v>0</v>
      </c>
      <c r="F24" s="4">
        <f t="shared" si="2"/>
        <v>0</v>
      </c>
      <c r="G24" s="4">
        <f>D24*DRV_Coeff!$B$2+E24*DRV_Coeff!$B$3+F24*DRV_Coeff!$B$4</f>
        <v>0</v>
      </c>
      <c r="H24" s="4">
        <f>D24*DRV_Coeff!$C$2+E24*DRV_Coeff!$C$3+F24*DRV_Coeff!$C$4</f>
        <v>0</v>
      </c>
      <c r="I24" s="4">
        <f>D24*DRV_Coeff!$D$2+E24*DRV_Coeff!$D$3+F24*DRV_Coeff!$D$4</f>
        <v>0</v>
      </c>
      <c r="J24" s="27"/>
      <c r="K24" s="27"/>
      <c r="L24" s="28">
        <v>1</v>
      </c>
      <c r="M24" s="15">
        <f t="shared" si="3"/>
        <v>1</v>
      </c>
      <c r="N24" s="4">
        <f>D24*DRV_Coeff!$G$2+E24*DRV_Coeff!$G$3+F24*DRV_Coeff!$G$4</f>
        <v>0</v>
      </c>
      <c r="O24" s="15">
        <f t="shared" si="4"/>
        <v>0</v>
      </c>
    </row>
    <row r="25" spans="1:15" x14ac:dyDescent="0.15">
      <c r="A25" s="4">
        <f t="shared" si="5"/>
        <v>14</v>
      </c>
      <c r="B25" s="13"/>
      <c r="C25" s="13"/>
      <c r="D25" s="4">
        <f t="shared" si="0"/>
        <v>0</v>
      </c>
      <c r="E25" s="4">
        <f t="shared" si="1"/>
        <v>0</v>
      </c>
      <c r="F25" s="4">
        <f t="shared" si="2"/>
        <v>0</v>
      </c>
      <c r="G25" s="4">
        <f>D25*DRV_Coeff!$B$2+E25*DRV_Coeff!$B$3+F25*DRV_Coeff!$B$4</f>
        <v>0</v>
      </c>
      <c r="H25" s="4">
        <f>D25*DRV_Coeff!$C$2+E25*DRV_Coeff!$C$3+F25*DRV_Coeff!$C$4</f>
        <v>0</v>
      </c>
      <c r="I25" s="4">
        <f>D25*DRV_Coeff!$D$2+E25*DRV_Coeff!$D$3+F25*DRV_Coeff!$D$4</f>
        <v>0</v>
      </c>
      <c r="J25" s="27"/>
      <c r="K25" s="27"/>
      <c r="L25" s="28">
        <v>1</v>
      </c>
      <c r="M25" s="15">
        <f t="shared" si="3"/>
        <v>1</v>
      </c>
      <c r="N25" s="4">
        <f>D25*DRV_Coeff!$G$2+E25*DRV_Coeff!$G$3+F25*DRV_Coeff!$G$4</f>
        <v>0</v>
      </c>
      <c r="O25" s="15">
        <f t="shared" si="4"/>
        <v>0</v>
      </c>
    </row>
    <row r="26" spans="1:15" x14ac:dyDescent="0.15">
      <c r="A26" s="4">
        <f t="shared" si="5"/>
        <v>15</v>
      </c>
      <c r="B26" s="13"/>
      <c r="C26" s="13"/>
      <c r="D26" s="4">
        <f t="shared" si="0"/>
        <v>0</v>
      </c>
      <c r="E26" s="4">
        <f t="shared" si="1"/>
        <v>0</v>
      </c>
      <c r="F26" s="4">
        <f t="shared" si="2"/>
        <v>0</v>
      </c>
      <c r="G26" s="4">
        <f>D26*DRV_Coeff!$B$2+E26*DRV_Coeff!$B$3+F26*DRV_Coeff!$B$4</f>
        <v>0</v>
      </c>
      <c r="H26" s="4">
        <f>D26*DRV_Coeff!$C$2+E26*DRV_Coeff!$C$3+F26*DRV_Coeff!$C$4</f>
        <v>0</v>
      </c>
      <c r="I26" s="4">
        <f>D26*DRV_Coeff!$D$2+E26*DRV_Coeff!$D$3+F26*DRV_Coeff!$D$4</f>
        <v>0</v>
      </c>
      <c r="J26" s="27"/>
      <c r="K26" s="27"/>
      <c r="L26" s="28">
        <v>1</v>
      </c>
      <c r="M26" s="15">
        <f t="shared" si="3"/>
        <v>1</v>
      </c>
      <c r="N26" s="4">
        <f>D26*DRV_Coeff!$G$2+E26*DRV_Coeff!$G$3+F26*DRV_Coeff!$G$4</f>
        <v>0</v>
      </c>
      <c r="O26" s="15">
        <f t="shared" si="4"/>
        <v>0</v>
      </c>
    </row>
    <row r="27" spans="1:15" x14ac:dyDescent="0.15">
      <c r="A27" s="4">
        <f t="shared" si="5"/>
        <v>16</v>
      </c>
      <c r="B27" s="13"/>
      <c r="C27" s="13"/>
      <c r="D27" s="4">
        <f t="shared" si="0"/>
        <v>0</v>
      </c>
      <c r="E27" s="4">
        <f t="shared" si="1"/>
        <v>0</v>
      </c>
      <c r="F27" s="4">
        <f t="shared" si="2"/>
        <v>0</v>
      </c>
      <c r="G27" s="4">
        <f>D27*DRV_Coeff!$B$2+E27*DRV_Coeff!$B$3+F27*DRV_Coeff!$B$4</f>
        <v>0</v>
      </c>
      <c r="H27" s="4">
        <f>D27*DRV_Coeff!$C$2+E27*DRV_Coeff!$C$3+F27*DRV_Coeff!$C$4</f>
        <v>0</v>
      </c>
      <c r="I27" s="4">
        <f>D27*DRV_Coeff!$D$2+E27*DRV_Coeff!$D$3+F27*DRV_Coeff!$D$4</f>
        <v>0</v>
      </c>
      <c r="J27" s="27"/>
      <c r="K27" s="27"/>
      <c r="L27" s="28">
        <v>1</v>
      </c>
      <c r="M27" s="15">
        <f t="shared" si="3"/>
        <v>1</v>
      </c>
      <c r="N27" s="4">
        <f>D27*DRV_Coeff!$G$2+E27*DRV_Coeff!$G$3+F27*DRV_Coeff!$G$4</f>
        <v>0</v>
      </c>
      <c r="O27" s="15">
        <f t="shared" si="4"/>
        <v>0</v>
      </c>
    </row>
    <row r="28" spans="1:15" x14ac:dyDescent="0.15">
      <c r="A28" s="4">
        <f t="shared" si="5"/>
        <v>17</v>
      </c>
      <c r="B28" s="13"/>
      <c r="C28" s="13"/>
      <c r="D28" s="4">
        <f t="shared" si="0"/>
        <v>0</v>
      </c>
      <c r="E28" s="4">
        <f t="shared" si="1"/>
        <v>0</v>
      </c>
      <c r="F28" s="4">
        <f t="shared" si="2"/>
        <v>0</v>
      </c>
      <c r="G28" s="4">
        <f>D28*DRV_Coeff!$B$2+E28*DRV_Coeff!$B$3+F28*DRV_Coeff!$B$4</f>
        <v>0</v>
      </c>
      <c r="H28" s="4">
        <f>D28*DRV_Coeff!$C$2+E28*DRV_Coeff!$C$3+F28*DRV_Coeff!$C$4</f>
        <v>0</v>
      </c>
      <c r="I28" s="4">
        <f>D28*DRV_Coeff!$D$2+E28*DRV_Coeff!$D$3+F28*DRV_Coeff!$D$4</f>
        <v>0</v>
      </c>
      <c r="J28" s="27"/>
      <c r="K28" s="27"/>
      <c r="L28" s="28">
        <v>1</v>
      </c>
      <c r="M28" s="15">
        <f t="shared" si="3"/>
        <v>1</v>
      </c>
      <c r="N28" s="4">
        <f>D28*DRV_Coeff!$G$2+E28*DRV_Coeff!$G$3+F28*DRV_Coeff!$G$4</f>
        <v>0</v>
      </c>
      <c r="O28" s="15">
        <f t="shared" si="4"/>
        <v>0</v>
      </c>
    </row>
    <row r="29" spans="1:15" x14ac:dyDescent="0.15">
      <c r="A29" s="4">
        <f t="shared" si="5"/>
        <v>18</v>
      </c>
      <c r="B29" s="13"/>
      <c r="C29" s="13"/>
      <c r="D29" s="4">
        <f t="shared" si="0"/>
        <v>0</v>
      </c>
      <c r="E29" s="4">
        <f t="shared" si="1"/>
        <v>0</v>
      </c>
      <c r="F29" s="4">
        <f t="shared" si="2"/>
        <v>0</v>
      </c>
      <c r="G29" s="4">
        <f>D29*DRV_Coeff!$B$2+E29*DRV_Coeff!$B$3+F29*DRV_Coeff!$B$4</f>
        <v>0</v>
      </c>
      <c r="H29" s="4">
        <f>D29*DRV_Coeff!$C$2+E29*DRV_Coeff!$C$3+F29*DRV_Coeff!$C$4</f>
        <v>0</v>
      </c>
      <c r="I29" s="4">
        <f>D29*DRV_Coeff!$D$2+E29*DRV_Coeff!$D$3+F29*DRV_Coeff!$D$4</f>
        <v>0</v>
      </c>
      <c r="J29" s="27"/>
      <c r="K29" s="27"/>
      <c r="L29" s="28">
        <v>1</v>
      </c>
      <c r="M29" s="15">
        <f t="shared" si="3"/>
        <v>1</v>
      </c>
      <c r="N29" s="4">
        <f>D29*DRV_Coeff!$G$2+E29*DRV_Coeff!$G$3+F29*DRV_Coeff!$G$4</f>
        <v>0</v>
      </c>
      <c r="O29" s="15">
        <f t="shared" si="4"/>
        <v>0</v>
      </c>
    </row>
    <row r="30" spans="1:15" x14ac:dyDescent="0.15">
      <c r="A30" s="4">
        <f t="shared" si="5"/>
        <v>19</v>
      </c>
      <c r="B30" s="13"/>
      <c r="C30" s="13"/>
      <c r="D30" s="4">
        <f t="shared" si="0"/>
        <v>0</v>
      </c>
      <c r="E30" s="4">
        <f t="shared" si="1"/>
        <v>0</v>
      </c>
      <c r="F30" s="4">
        <f t="shared" si="2"/>
        <v>0</v>
      </c>
      <c r="G30" s="4">
        <f>D30*DRV_Coeff!$B$2+E30*DRV_Coeff!$B$3+F30*DRV_Coeff!$B$4</f>
        <v>0</v>
      </c>
      <c r="H30" s="4">
        <f>D30*DRV_Coeff!$C$2+E30*DRV_Coeff!$C$3+F30*DRV_Coeff!$C$4</f>
        <v>0</v>
      </c>
      <c r="I30" s="4">
        <f>D30*DRV_Coeff!$D$2+E30*DRV_Coeff!$D$3+F30*DRV_Coeff!$D$4</f>
        <v>0</v>
      </c>
      <c r="J30" s="27"/>
      <c r="K30" s="27"/>
      <c r="L30" s="28">
        <v>1</v>
      </c>
      <c r="M30" s="15">
        <f t="shared" si="3"/>
        <v>1</v>
      </c>
      <c r="N30" s="4">
        <f>D30*DRV_Coeff!$G$2+E30*DRV_Coeff!$G$3+F30*DRV_Coeff!$G$4</f>
        <v>0</v>
      </c>
      <c r="O30" s="15">
        <f t="shared" si="4"/>
        <v>0</v>
      </c>
    </row>
    <row r="31" spans="1:15" ht="14.25" thickBot="1" x14ac:dyDescent="0.2">
      <c r="O31" s="25">
        <f>SUM(O12:O30)</f>
        <v>0</v>
      </c>
    </row>
  </sheetData>
  <phoneticPr fontId="1"/>
  <dataValidations count="1">
    <dataValidation type="list" allowBlank="1" showInputMessage="1" showErrorMessage="1" sqref="C11:C30">
      <formula1>$C$1:$C$3</formula1>
    </dataValidation>
  </dataValidations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zoomScale="97" workbookViewId="0">
      <selection activeCell="L11" sqref="L11"/>
    </sheetView>
  </sheetViews>
  <sheetFormatPr defaultRowHeight="13.5" x14ac:dyDescent="0.15"/>
  <cols>
    <col min="2" max="2" width="15" customWidth="1"/>
    <col min="3" max="3" width="18.125" style="2" customWidth="1"/>
    <col min="4" max="9" width="9" hidden="1" customWidth="1"/>
    <col min="15" max="22" width="9" hidden="1" customWidth="1"/>
    <col min="25" max="30" width="9" hidden="1" customWidth="1"/>
    <col min="31" max="31" width="7.625" bestFit="1" customWidth="1"/>
    <col min="32" max="32" width="12.875" customWidth="1"/>
  </cols>
  <sheetData>
    <row r="1" spans="1:32" ht="40.5" x14ac:dyDescent="0.15">
      <c r="C1" s="2" t="s">
        <v>172</v>
      </c>
      <c r="N1">
        <v>10</v>
      </c>
      <c r="X1" t="s">
        <v>16</v>
      </c>
    </row>
    <row r="2" spans="1:32" ht="40.5" x14ac:dyDescent="0.15">
      <c r="C2" s="2" t="s">
        <v>173</v>
      </c>
      <c r="N2">
        <v>50</v>
      </c>
      <c r="X2" t="s">
        <v>194</v>
      </c>
    </row>
    <row r="3" spans="1:32" ht="27" x14ac:dyDescent="0.15">
      <c r="C3" s="2" t="s">
        <v>174</v>
      </c>
      <c r="N3">
        <v>100</v>
      </c>
      <c r="X3" t="s">
        <v>18</v>
      </c>
    </row>
    <row r="4" spans="1:32" x14ac:dyDescent="0.15">
      <c r="N4">
        <v>200</v>
      </c>
    </row>
    <row r="10" spans="1:32" s="2" customFormat="1" ht="40.5" x14ac:dyDescent="0.15">
      <c r="A10" s="6" t="s">
        <v>30</v>
      </c>
      <c r="B10" s="6" t="s">
        <v>19</v>
      </c>
      <c r="C10" s="6" t="s">
        <v>66</v>
      </c>
      <c r="D10" s="6" t="s">
        <v>185</v>
      </c>
      <c r="E10" s="6" t="s">
        <v>186</v>
      </c>
      <c r="F10" s="6" t="s">
        <v>187</v>
      </c>
      <c r="G10" s="6" t="s">
        <v>1</v>
      </c>
      <c r="H10" s="6" t="s">
        <v>3</v>
      </c>
      <c r="I10" s="6" t="s">
        <v>4</v>
      </c>
      <c r="J10" s="6" t="s">
        <v>175</v>
      </c>
      <c r="K10" s="6" t="s">
        <v>176</v>
      </c>
      <c r="L10" s="6" t="s">
        <v>188</v>
      </c>
      <c r="M10" s="6" t="s">
        <v>168</v>
      </c>
      <c r="N10" s="6" t="s">
        <v>189</v>
      </c>
      <c r="O10" s="6">
        <v>10</v>
      </c>
      <c r="P10" s="6">
        <v>50</v>
      </c>
      <c r="Q10" s="6">
        <v>100</v>
      </c>
      <c r="R10" s="6">
        <v>200</v>
      </c>
      <c r="S10" s="6" t="s">
        <v>190</v>
      </c>
      <c r="T10" s="6" t="s">
        <v>191</v>
      </c>
      <c r="U10" s="6" t="s">
        <v>192</v>
      </c>
      <c r="V10" s="6" t="s">
        <v>193</v>
      </c>
      <c r="W10" s="6" t="s">
        <v>201</v>
      </c>
      <c r="X10" s="6" t="s">
        <v>43</v>
      </c>
      <c r="Y10" s="6" t="s">
        <v>16</v>
      </c>
      <c r="Z10" s="6" t="s">
        <v>195</v>
      </c>
      <c r="AA10" s="6" t="s">
        <v>18</v>
      </c>
      <c r="AB10" s="6" t="s">
        <v>196</v>
      </c>
      <c r="AC10" s="6" t="s">
        <v>197</v>
      </c>
      <c r="AD10" s="6" t="s">
        <v>198</v>
      </c>
      <c r="AE10" s="6" t="s">
        <v>199</v>
      </c>
      <c r="AF10" s="6" t="s">
        <v>200</v>
      </c>
    </row>
    <row r="11" spans="1:32" ht="40.5" x14ac:dyDescent="0.15">
      <c r="A11" s="4">
        <v>0</v>
      </c>
      <c r="B11" s="13" t="s">
        <v>213</v>
      </c>
      <c r="C11" s="29" t="s">
        <v>171</v>
      </c>
      <c r="D11" s="4">
        <f>IF(C11="Reactive Process Heater (Reformer Furnace)",1,0)</f>
        <v>1</v>
      </c>
      <c r="E11" s="4">
        <f>IF(C11="Reactive Process Heater (Pyrolysis Furnace)",1,0)</f>
        <v>0</v>
      </c>
      <c r="F11" s="4">
        <f>IF(C11="Non-Reactive Process Heater",1,0)</f>
        <v>0</v>
      </c>
      <c r="G11" s="4">
        <f>D11*Furnace_Coeff!$B$2+E11*Furnace_Coeff!$B$3+F11*Furnace_Coeff!$B$4</f>
        <v>2.6379000000000001</v>
      </c>
      <c r="H11" s="4">
        <f>D11*Furnace_Coeff!$C$2+E11*Furnace_Coeff!$C$3+F11*Furnace_Coeff!$C$4</f>
        <v>0.81789999999999996</v>
      </c>
      <c r="I11" s="4">
        <f>D11*Furnace_Coeff!$D$2+E11*Furnace_Coeff!$D$3+F11*Furnace_Coeff!$D$4</f>
        <v>0</v>
      </c>
      <c r="J11" s="14">
        <f>D11*Furnace_Coeff!$E$2+E11*Furnace_Coeff!$E$3+F11*Furnace_Coeff!$E$4</f>
        <v>3000</v>
      </c>
      <c r="K11" s="14">
        <f>D11*Furnace_Coeff!$F$2+E11*Furnace_Coeff!$F$3+F11*Furnace_Coeff!$F$4</f>
        <v>150000</v>
      </c>
      <c r="L11" s="13">
        <v>10000</v>
      </c>
      <c r="M11" s="15">
        <f>10^(G11+H11*LOG(L11)+I11*(LOG(L11))^2)</f>
        <v>811895.24893567478</v>
      </c>
      <c r="N11" s="13">
        <v>200</v>
      </c>
      <c r="O11" s="4">
        <f>IF(N11=10,1,0)</f>
        <v>0</v>
      </c>
      <c r="P11" s="4">
        <f>IF(N11=50,1,0)</f>
        <v>0</v>
      </c>
      <c r="Q11" s="4">
        <f>IF(N11=100,1,0)</f>
        <v>0</v>
      </c>
      <c r="R11" s="4">
        <f>IF(N11=200,1,0)</f>
        <v>1</v>
      </c>
      <c r="S11" s="4">
        <f>D11*Furnace_Coeff!$H$2+E11*Furnace_Coeff!$H$3+F11*Furnace_Coeff!$H$4</f>
        <v>1</v>
      </c>
      <c r="T11" s="4">
        <f>D11*Furnace_Coeff!$I$2+E11*Furnace_Coeff!$I$3+F11*Furnace_Coeff!$I$4</f>
        <v>1.05</v>
      </c>
      <c r="U11" s="4">
        <f>D11*Furnace_Coeff!$J$2+E11*Furnace_Coeff!$J$3+F11*Furnace_Coeff!$J$4</f>
        <v>1.1499999999999999</v>
      </c>
      <c r="V11" s="4">
        <f>D11*Furnace_Coeff!$K$2+E11*Furnace_Coeff!$K$3+F11*Furnace_Coeff!$K$4</f>
        <v>1.3</v>
      </c>
      <c r="W11" s="14">
        <f>S11*O11+T11*P11+U11*Q11+V11*R11</f>
        <v>1.3</v>
      </c>
      <c r="X11" s="13" t="s">
        <v>93</v>
      </c>
      <c r="Y11" s="4">
        <f>IF(X11="CS",1,0)</f>
        <v>0</v>
      </c>
      <c r="Z11" s="4">
        <f>IF(X11="Alloy",1,0)</f>
        <v>0</v>
      </c>
      <c r="AA11" s="4">
        <f>IF(X11="SS",1,0)</f>
        <v>1</v>
      </c>
      <c r="AB11" s="4">
        <f>$D$11*Furnace_Coeff!$L$2+$E$11*Furnace_Coeff!$L$3+$F$11*Furnace_Coeff!$L$4</f>
        <v>2.1</v>
      </c>
      <c r="AC11" s="4">
        <f>$D$11*Furnace_Coeff!$M$2+$E$11*Furnace_Coeff!$M$3+$F$11*Furnace_Coeff!$M$4</f>
        <v>2.5</v>
      </c>
      <c r="AD11" s="4">
        <f>$D$11*Furnace_Coeff!$N$2+$E$11*Furnace_Coeff!$N$3+$F$11*Furnace_Coeff!$N$4</f>
        <v>2.7</v>
      </c>
      <c r="AE11" s="14">
        <f>Y11*AB11+Z11*AC11+AA11*AD11</f>
        <v>2.7</v>
      </c>
      <c r="AF11" s="15">
        <f>M11*W11*AE11</f>
        <v>2849752.3237642189</v>
      </c>
    </row>
    <row r="12" spans="1:32" x14ac:dyDescent="0.15">
      <c r="A12" s="4">
        <f>A11+1</f>
        <v>1</v>
      </c>
      <c r="B12" s="13"/>
      <c r="C12" s="29"/>
      <c r="D12" s="4">
        <f t="shared" ref="D12:D30" si="0">IF(C12="Reactive Process Heater (Reformer Furnace)",1,0)</f>
        <v>0</v>
      </c>
      <c r="E12" s="4">
        <f t="shared" ref="E12:E30" si="1">IF(C12="Reactive Process Heater (Pyrolysis Furnace)",1,0)</f>
        <v>0</v>
      </c>
      <c r="F12" s="4">
        <f t="shared" ref="F12:F30" si="2">IF(C12="Non-Reactive Process Heater",1,0)</f>
        <v>0</v>
      </c>
      <c r="G12" s="4">
        <f>D12*Furnace_Coeff!$B$2+E12*Furnace_Coeff!$B$3+F12*Furnace_Coeff!$B$4</f>
        <v>0</v>
      </c>
      <c r="H12" s="4">
        <f>D12*Furnace_Coeff!$C$2+E12*Furnace_Coeff!$C$3+F12*Furnace_Coeff!$C$4</f>
        <v>0</v>
      </c>
      <c r="I12" s="4">
        <f>D12*Furnace_Coeff!$D$2+E12*Furnace_Coeff!$D$3+F12*Furnace_Coeff!$D$4</f>
        <v>0</v>
      </c>
      <c r="J12" s="14">
        <f>D12*Furnace_Coeff!$E$2+E12*Furnace_Coeff!$E$3+F12*Furnace_Coeff!$E$4</f>
        <v>0</v>
      </c>
      <c r="K12" s="14">
        <f>D12*Furnace_Coeff!$F$2+E12*Furnace_Coeff!$F$3+F12*Furnace_Coeff!$F$4</f>
        <v>0</v>
      </c>
      <c r="L12" s="13">
        <v>1</v>
      </c>
      <c r="M12" s="15">
        <f t="shared" ref="M12:M30" si="3">10^(G12+H12*LOG(L12)+I12*(LOG(L12))^2)</f>
        <v>1</v>
      </c>
      <c r="N12" s="13"/>
      <c r="O12" s="4">
        <f t="shared" ref="O12:O30" si="4">IF(N12=10,1,0)</f>
        <v>0</v>
      </c>
      <c r="P12" s="4">
        <f t="shared" ref="P12:P30" si="5">IF(N12=50,1,0)</f>
        <v>0</v>
      </c>
      <c r="Q12" s="4">
        <f t="shared" ref="Q12:Q30" si="6">IF(N12=100,1,0)</f>
        <v>0</v>
      </c>
      <c r="R12" s="4">
        <f t="shared" ref="R12:R30" si="7">IF(N12=200,1,0)</f>
        <v>0</v>
      </c>
      <c r="S12" s="4">
        <f>D12*Furnace_Coeff!$H$2+E12*Furnace_Coeff!$H$3+F12*Furnace_Coeff!$H$4</f>
        <v>0</v>
      </c>
      <c r="T12" s="4">
        <f>D12*Furnace_Coeff!$I$2+E12*Furnace_Coeff!$I$3+F12*Furnace_Coeff!$I$4</f>
        <v>0</v>
      </c>
      <c r="U12" s="4">
        <f>D12*Furnace_Coeff!$J$2+E12*Furnace_Coeff!$J$3+F12*Furnace_Coeff!$J$4</f>
        <v>0</v>
      </c>
      <c r="V12" s="4">
        <f>D12*Furnace_Coeff!$K$2+E12*Furnace_Coeff!$K$3+F12*Furnace_Coeff!$K$4</f>
        <v>0</v>
      </c>
      <c r="W12" s="14">
        <f t="shared" ref="W12:W30" si="8">S12*O12+T12*P12+U12*Q12+V12*R12</f>
        <v>0</v>
      </c>
      <c r="X12" s="13"/>
      <c r="Y12" s="4">
        <f t="shared" ref="Y12:Y30" si="9">IF(X12="CS",1,0)</f>
        <v>0</v>
      </c>
      <c r="Z12" s="4">
        <f t="shared" ref="Z12:Z30" si="10">IF(X12="Alloy",1,0)</f>
        <v>0</v>
      </c>
      <c r="AA12" s="4">
        <f t="shared" ref="AA12:AA30" si="11">IF(X12="SS",1,0)</f>
        <v>0</v>
      </c>
      <c r="AB12" s="4">
        <f>$D$11*Furnace_Coeff!$L$2+$E$11*Furnace_Coeff!$L$3+$F$11*Furnace_Coeff!$L$4</f>
        <v>2.1</v>
      </c>
      <c r="AC12" s="4">
        <f>$D$11*Furnace_Coeff!$M$2+$E$11*Furnace_Coeff!$M$3+$F$11*Furnace_Coeff!$M$4</f>
        <v>2.5</v>
      </c>
      <c r="AD12" s="4">
        <f>$D$11*Furnace_Coeff!$N$2+$E$11*Furnace_Coeff!$N$3+$F$11*Furnace_Coeff!$N$4</f>
        <v>2.7</v>
      </c>
      <c r="AE12" s="14">
        <f t="shared" ref="AE12:AE30" si="12">Y12*AB12+Z12*AC12+AA12*AD12</f>
        <v>0</v>
      </c>
      <c r="AF12" s="15">
        <f t="shared" ref="AF12:AF30" si="13">M12*W12*AE12</f>
        <v>0</v>
      </c>
    </row>
    <row r="13" spans="1:32" x14ac:dyDescent="0.15">
      <c r="A13" s="4">
        <f t="shared" ref="A13:A30" si="14">A12+1</f>
        <v>2</v>
      </c>
      <c r="B13" s="13"/>
      <c r="C13" s="29"/>
      <c r="D13" s="4">
        <f t="shared" si="0"/>
        <v>0</v>
      </c>
      <c r="E13" s="4">
        <f t="shared" si="1"/>
        <v>0</v>
      </c>
      <c r="F13" s="4">
        <f t="shared" si="2"/>
        <v>0</v>
      </c>
      <c r="G13" s="4">
        <f>D13*Furnace_Coeff!$B$2+E13*Furnace_Coeff!$B$3+F13*Furnace_Coeff!$B$4</f>
        <v>0</v>
      </c>
      <c r="H13" s="4">
        <f>D13*Furnace_Coeff!$C$2+E13*Furnace_Coeff!$C$3+F13*Furnace_Coeff!$C$4</f>
        <v>0</v>
      </c>
      <c r="I13" s="4">
        <f>D13*Furnace_Coeff!$D$2+E13*Furnace_Coeff!$D$3+F13*Furnace_Coeff!$D$4</f>
        <v>0</v>
      </c>
      <c r="J13" s="14">
        <f>D13*Furnace_Coeff!$E$2+E13*Furnace_Coeff!$E$3+F13*Furnace_Coeff!$E$4</f>
        <v>0</v>
      </c>
      <c r="K13" s="14">
        <f>D13*Furnace_Coeff!$F$2+E13*Furnace_Coeff!$F$3+F13*Furnace_Coeff!$F$4</f>
        <v>0</v>
      </c>
      <c r="L13" s="13">
        <v>1</v>
      </c>
      <c r="M13" s="15">
        <f t="shared" si="3"/>
        <v>1</v>
      </c>
      <c r="N13" s="13"/>
      <c r="O13" s="4">
        <f t="shared" si="4"/>
        <v>0</v>
      </c>
      <c r="P13" s="4">
        <f t="shared" si="5"/>
        <v>0</v>
      </c>
      <c r="Q13" s="4">
        <f t="shared" si="6"/>
        <v>0</v>
      </c>
      <c r="R13" s="4">
        <f t="shared" si="7"/>
        <v>0</v>
      </c>
      <c r="S13" s="4">
        <f>D13*Furnace_Coeff!$H$2+E13*Furnace_Coeff!$H$3+F13*Furnace_Coeff!$H$4</f>
        <v>0</v>
      </c>
      <c r="T13" s="4">
        <f>D13*Furnace_Coeff!$I$2+E13*Furnace_Coeff!$I$3+F13*Furnace_Coeff!$I$4</f>
        <v>0</v>
      </c>
      <c r="U13" s="4">
        <f>D13*Furnace_Coeff!$J$2+E13*Furnace_Coeff!$J$3+F13*Furnace_Coeff!$J$4</f>
        <v>0</v>
      </c>
      <c r="V13" s="4">
        <f>D13*Furnace_Coeff!$K$2+E13*Furnace_Coeff!$K$3+F13*Furnace_Coeff!$K$4</f>
        <v>0</v>
      </c>
      <c r="W13" s="14">
        <f t="shared" si="8"/>
        <v>0</v>
      </c>
      <c r="X13" s="13"/>
      <c r="Y13" s="4">
        <f t="shared" si="9"/>
        <v>0</v>
      </c>
      <c r="Z13" s="4">
        <f t="shared" si="10"/>
        <v>0</v>
      </c>
      <c r="AA13" s="4">
        <f t="shared" si="11"/>
        <v>0</v>
      </c>
      <c r="AB13" s="4">
        <f>$D$11*Furnace_Coeff!$L$2+$E$11*Furnace_Coeff!$L$3+$F$11*Furnace_Coeff!$L$4</f>
        <v>2.1</v>
      </c>
      <c r="AC13" s="4">
        <f>$D$11*Furnace_Coeff!$M$2+$E$11*Furnace_Coeff!$M$3+$F$11*Furnace_Coeff!$M$4</f>
        <v>2.5</v>
      </c>
      <c r="AD13" s="4">
        <f>$D$11*Furnace_Coeff!$N$2+$E$11*Furnace_Coeff!$N$3+$F$11*Furnace_Coeff!$N$4</f>
        <v>2.7</v>
      </c>
      <c r="AE13" s="14">
        <f t="shared" si="12"/>
        <v>0</v>
      </c>
      <c r="AF13" s="15">
        <f t="shared" si="13"/>
        <v>0</v>
      </c>
    </row>
    <row r="14" spans="1:32" x14ac:dyDescent="0.15">
      <c r="A14" s="4">
        <f t="shared" si="14"/>
        <v>3</v>
      </c>
      <c r="B14" s="13"/>
      <c r="C14" s="29"/>
      <c r="D14" s="4">
        <f t="shared" si="0"/>
        <v>0</v>
      </c>
      <c r="E14" s="4">
        <f t="shared" si="1"/>
        <v>0</v>
      </c>
      <c r="F14" s="4">
        <f t="shared" si="2"/>
        <v>0</v>
      </c>
      <c r="G14" s="4">
        <f>D14*Furnace_Coeff!$B$2+E14*Furnace_Coeff!$B$3+F14*Furnace_Coeff!$B$4</f>
        <v>0</v>
      </c>
      <c r="H14" s="4">
        <f>D14*Furnace_Coeff!$C$2+E14*Furnace_Coeff!$C$3+F14*Furnace_Coeff!$C$4</f>
        <v>0</v>
      </c>
      <c r="I14" s="4">
        <f>D14*Furnace_Coeff!$D$2+E14*Furnace_Coeff!$D$3+F14*Furnace_Coeff!$D$4</f>
        <v>0</v>
      </c>
      <c r="J14" s="14">
        <f>D14*Furnace_Coeff!$E$2+E14*Furnace_Coeff!$E$3+F14*Furnace_Coeff!$E$4</f>
        <v>0</v>
      </c>
      <c r="K14" s="14">
        <f>D14*Furnace_Coeff!$F$2+E14*Furnace_Coeff!$F$3+F14*Furnace_Coeff!$F$4</f>
        <v>0</v>
      </c>
      <c r="L14" s="13">
        <v>1</v>
      </c>
      <c r="M14" s="15">
        <f t="shared" si="3"/>
        <v>1</v>
      </c>
      <c r="N14" s="13"/>
      <c r="O14" s="4">
        <f t="shared" si="4"/>
        <v>0</v>
      </c>
      <c r="P14" s="4">
        <f t="shared" si="5"/>
        <v>0</v>
      </c>
      <c r="Q14" s="4">
        <f t="shared" si="6"/>
        <v>0</v>
      </c>
      <c r="R14" s="4">
        <f t="shared" si="7"/>
        <v>0</v>
      </c>
      <c r="S14" s="4">
        <f>D14*Furnace_Coeff!$H$2+E14*Furnace_Coeff!$H$3+F14*Furnace_Coeff!$H$4</f>
        <v>0</v>
      </c>
      <c r="T14" s="4">
        <f>D14*Furnace_Coeff!$I$2+E14*Furnace_Coeff!$I$3+F14*Furnace_Coeff!$I$4</f>
        <v>0</v>
      </c>
      <c r="U14" s="4">
        <f>D14*Furnace_Coeff!$J$2+E14*Furnace_Coeff!$J$3+F14*Furnace_Coeff!$J$4</f>
        <v>0</v>
      </c>
      <c r="V14" s="4">
        <f>D14*Furnace_Coeff!$K$2+E14*Furnace_Coeff!$K$3+F14*Furnace_Coeff!$K$4</f>
        <v>0</v>
      </c>
      <c r="W14" s="14">
        <f t="shared" si="8"/>
        <v>0</v>
      </c>
      <c r="X14" s="13"/>
      <c r="Y14" s="4">
        <f t="shared" si="9"/>
        <v>0</v>
      </c>
      <c r="Z14" s="4">
        <f t="shared" si="10"/>
        <v>0</v>
      </c>
      <c r="AA14" s="4">
        <f t="shared" si="11"/>
        <v>0</v>
      </c>
      <c r="AB14" s="4">
        <f>$D$11*Furnace_Coeff!$L$2+$E$11*Furnace_Coeff!$L$3+$F$11*Furnace_Coeff!$L$4</f>
        <v>2.1</v>
      </c>
      <c r="AC14" s="4">
        <f>$D$11*Furnace_Coeff!$M$2+$E$11*Furnace_Coeff!$M$3+$F$11*Furnace_Coeff!$M$4</f>
        <v>2.5</v>
      </c>
      <c r="AD14" s="4">
        <f>$D$11*Furnace_Coeff!$N$2+$E$11*Furnace_Coeff!$N$3+$F$11*Furnace_Coeff!$N$4</f>
        <v>2.7</v>
      </c>
      <c r="AE14" s="14">
        <f t="shared" si="12"/>
        <v>0</v>
      </c>
      <c r="AF14" s="15">
        <f t="shared" si="13"/>
        <v>0</v>
      </c>
    </row>
    <row r="15" spans="1:32" x14ac:dyDescent="0.15">
      <c r="A15" s="4">
        <f t="shared" si="14"/>
        <v>4</v>
      </c>
      <c r="B15" s="13"/>
      <c r="C15" s="29"/>
      <c r="D15" s="4">
        <f t="shared" si="0"/>
        <v>0</v>
      </c>
      <c r="E15" s="4">
        <f t="shared" si="1"/>
        <v>0</v>
      </c>
      <c r="F15" s="4">
        <f t="shared" si="2"/>
        <v>0</v>
      </c>
      <c r="G15" s="4">
        <f>D15*Furnace_Coeff!$B$2+E15*Furnace_Coeff!$B$3+F15*Furnace_Coeff!$B$4</f>
        <v>0</v>
      </c>
      <c r="H15" s="4">
        <f>D15*Furnace_Coeff!$C$2+E15*Furnace_Coeff!$C$3+F15*Furnace_Coeff!$C$4</f>
        <v>0</v>
      </c>
      <c r="I15" s="4">
        <f>D15*Furnace_Coeff!$D$2+E15*Furnace_Coeff!$D$3+F15*Furnace_Coeff!$D$4</f>
        <v>0</v>
      </c>
      <c r="J15" s="14">
        <f>D15*Furnace_Coeff!$E$2+E15*Furnace_Coeff!$E$3+F15*Furnace_Coeff!$E$4</f>
        <v>0</v>
      </c>
      <c r="K15" s="14">
        <f>D15*Furnace_Coeff!$F$2+E15*Furnace_Coeff!$F$3+F15*Furnace_Coeff!$F$4</f>
        <v>0</v>
      </c>
      <c r="L15" s="13">
        <v>1</v>
      </c>
      <c r="M15" s="15">
        <f t="shared" si="3"/>
        <v>1</v>
      </c>
      <c r="N15" s="13"/>
      <c r="O15" s="4">
        <f t="shared" si="4"/>
        <v>0</v>
      </c>
      <c r="P15" s="4">
        <f t="shared" si="5"/>
        <v>0</v>
      </c>
      <c r="Q15" s="4">
        <f t="shared" si="6"/>
        <v>0</v>
      </c>
      <c r="R15" s="4">
        <f t="shared" si="7"/>
        <v>0</v>
      </c>
      <c r="S15" s="4">
        <f>D15*Furnace_Coeff!$H$2+E15*Furnace_Coeff!$H$3+F15*Furnace_Coeff!$H$4</f>
        <v>0</v>
      </c>
      <c r="T15" s="4">
        <f>D15*Furnace_Coeff!$I$2+E15*Furnace_Coeff!$I$3+F15*Furnace_Coeff!$I$4</f>
        <v>0</v>
      </c>
      <c r="U15" s="4">
        <f>D15*Furnace_Coeff!$J$2+E15*Furnace_Coeff!$J$3+F15*Furnace_Coeff!$J$4</f>
        <v>0</v>
      </c>
      <c r="V15" s="4">
        <f>D15*Furnace_Coeff!$K$2+E15*Furnace_Coeff!$K$3+F15*Furnace_Coeff!$K$4</f>
        <v>0</v>
      </c>
      <c r="W15" s="14">
        <f t="shared" si="8"/>
        <v>0</v>
      </c>
      <c r="X15" s="13"/>
      <c r="Y15" s="4">
        <f t="shared" si="9"/>
        <v>0</v>
      </c>
      <c r="Z15" s="4">
        <f t="shared" si="10"/>
        <v>0</v>
      </c>
      <c r="AA15" s="4">
        <f t="shared" si="11"/>
        <v>0</v>
      </c>
      <c r="AB15" s="4">
        <f>$D$11*Furnace_Coeff!$L$2+$E$11*Furnace_Coeff!$L$3+$F$11*Furnace_Coeff!$L$4</f>
        <v>2.1</v>
      </c>
      <c r="AC15" s="4">
        <f>$D$11*Furnace_Coeff!$M$2+$E$11*Furnace_Coeff!$M$3+$F$11*Furnace_Coeff!$M$4</f>
        <v>2.5</v>
      </c>
      <c r="AD15" s="4">
        <f>$D$11*Furnace_Coeff!$N$2+$E$11*Furnace_Coeff!$N$3+$F$11*Furnace_Coeff!$N$4</f>
        <v>2.7</v>
      </c>
      <c r="AE15" s="14">
        <f t="shared" si="12"/>
        <v>0</v>
      </c>
      <c r="AF15" s="15">
        <f t="shared" si="13"/>
        <v>0</v>
      </c>
    </row>
    <row r="16" spans="1:32" x14ac:dyDescent="0.15">
      <c r="A16" s="4">
        <f t="shared" si="14"/>
        <v>5</v>
      </c>
      <c r="B16" s="13"/>
      <c r="C16" s="29"/>
      <c r="D16" s="4">
        <f t="shared" si="0"/>
        <v>0</v>
      </c>
      <c r="E16" s="4">
        <f t="shared" si="1"/>
        <v>0</v>
      </c>
      <c r="F16" s="4">
        <f t="shared" si="2"/>
        <v>0</v>
      </c>
      <c r="G16" s="4">
        <f>D16*Furnace_Coeff!$B$2+E16*Furnace_Coeff!$B$3+F16*Furnace_Coeff!$B$4</f>
        <v>0</v>
      </c>
      <c r="H16" s="4">
        <f>D16*Furnace_Coeff!$C$2+E16*Furnace_Coeff!$C$3+F16*Furnace_Coeff!$C$4</f>
        <v>0</v>
      </c>
      <c r="I16" s="4">
        <f>D16*Furnace_Coeff!$D$2+E16*Furnace_Coeff!$D$3+F16*Furnace_Coeff!$D$4</f>
        <v>0</v>
      </c>
      <c r="J16" s="14">
        <f>D16*Furnace_Coeff!$E$2+E16*Furnace_Coeff!$E$3+F16*Furnace_Coeff!$E$4</f>
        <v>0</v>
      </c>
      <c r="K16" s="14">
        <f>D16*Furnace_Coeff!$F$2+E16*Furnace_Coeff!$F$3+F16*Furnace_Coeff!$F$4</f>
        <v>0</v>
      </c>
      <c r="L16" s="13">
        <v>1</v>
      </c>
      <c r="M16" s="15">
        <f t="shared" si="3"/>
        <v>1</v>
      </c>
      <c r="N16" s="13"/>
      <c r="O16" s="4">
        <f t="shared" si="4"/>
        <v>0</v>
      </c>
      <c r="P16" s="4">
        <f t="shared" si="5"/>
        <v>0</v>
      </c>
      <c r="Q16" s="4">
        <f t="shared" si="6"/>
        <v>0</v>
      </c>
      <c r="R16" s="4">
        <f t="shared" si="7"/>
        <v>0</v>
      </c>
      <c r="S16" s="4">
        <f>D16*Furnace_Coeff!$H$2+E16*Furnace_Coeff!$H$3+F16*Furnace_Coeff!$H$4</f>
        <v>0</v>
      </c>
      <c r="T16" s="4">
        <f>D16*Furnace_Coeff!$I$2+E16*Furnace_Coeff!$I$3+F16*Furnace_Coeff!$I$4</f>
        <v>0</v>
      </c>
      <c r="U16" s="4">
        <f>D16*Furnace_Coeff!$J$2+E16*Furnace_Coeff!$J$3+F16*Furnace_Coeff!$J$4</f>
        <v>0</v>
      </c>
      <c r="V16" s="4">
        <f>D16*Furnace_Coeff!$K$2+E16*Furnace_Coeff!$K$3+F16*Furnace_Coeff!$K$4</f>
        <v>0</v>
      </c>
      <c r="W16" s="14">
        <f t="shared" si="8"/>
        <v>0</v>
      </c>
      <c r="X16" s="13"/>
      <c r="Y16" s="4">
        <f t="shared" si="9"/>
        <v>0</v>
      </c>
      <c r="Z16" s="4">
        <f t="shared" si="10"/>
        <v>0</v>
      </c>
      <c r="AA16" s="4">
        <f t="shared" si="11"/>
        <v>0</v>
      </c>
      <c r="AB16" s="4">
        <f>$D$11*Furnace_Coeff!$L$2+$E$11*Furnace_Coeff!$L$3+$F$11*Furnace_Coeff!$L$4</f>
        <v>2.1</v>
      </c>
      <c r="AC16" s="4">
        <f>$D$11*Furnace_Coeff!$M$2+$E$11*Furnace_Coeff!$M$3+$F$11*Furnace_Coeff!$M$4</f>
        <v>2.5</v>
      </c>
      <c r="AD16" s="4">
        <f>$D$11*Furnace_Coeff!$N$2+$E$11*Furnace_Coeff!$N$3+$F$11*Furnace_Coeff!$N$4</f>
        <v>2.7</v>
      </c>
      <c r="AE16" s="14">
        <f t="shared" si="12"/>
        <v>0</v>
      </c>
      <c r="AF16" s="15">
        <f t="shared" si="13"/>
        <v>0</v>
      </c>
    </row>
    <row r="17" spans="1:32" x14ac:dyDescent="0.15">
      <c r="A17" s="4">
        <f t="shared" si="14"/>
        <v>6</v>
      </c>
      <c r="B17" s="13"/>
      <c r="C17" s="29"/>
      <c r="D17" s="4">
        <f t="shared" si="0"/>
        <v>0</v>
      </c>
      <c r="E17" s="4">
        <f t="shared" si="1"/>
        <v>0</v>
      </c>
      <c r="F17" s="4">
        <f t="shared" si="2"/>
        <v>0</v>
      </c>
      <c r="G17" s="4">
        <f>D17*Furnace_Coeff!$B$2+E17*Furnace_Coeff!$B$3+F17*Furnace_Coeff!$B$4</f>
        <v>0</v>
      </c>
      <c r="H17" s="4">
        <f>D17*Furnace_Coeff!$C$2+E17*Furnace_Coeff!$C$3+F17*Furnace_Coeff!$C$4</f>
        <v>0</v>
      </c>
      <c r="I17" s="4">
        <f>D17*Furnace_Coeff!$D$2+E17*Furnace_Coeff!$D$3+F17*Furnace_Coeff!$D$4</f>
        <v>0</v>
      </c>
      <c r="J17" s="14">
        <f>D17*Furnace_Coeff!$E$2+E17*Furnace_Coeff!$E$3+F17*Furnace_Coeff!$E$4</f>
        <v>0</v>
      </c>
      <c r="K17" s="14">
        <f>D17*Furnace_Coeff!$F$2+E17*Furnace_Coeff!$F$3+F17*Furnace_Coeff!$F$4</f>
        <v>0</v>
      </c>
      <c r="L17" s="13">
        <v>1</v>
      </c>
      <c r="M17" s="15">
        <f t="shared" si="3"/>
        <v>1</v>
      </c>
      <c r="N17" s="13"/>
      <c r="O17" s="4">
        <f t="shared" si="4"/>
        <v>0</v>
      </c>
      <c r="P17" s="4">
        <f t="shared" si="5"/>
        <v>0</v>
      </c>
      <c r="Q17" s="4">
        <f t="shared" si="6"/>
        <v>0</v>
      </c>
      <c r="R17" s="4">
        <f t="shared" si="7"/>
        <v>0</v>
      </c>
      <c r="S17" s="4">
        <f>D17*Furnace_Coeff!$H$2+E17*Furnace_Coeff!$H$3+F17*Furnace_Coeff!$H$4</f>
        <v>0</v>
      </c>
      <c r="T17" s="4">
        <f>D17*Furnace_Coeff!$I$2+E17*Furnace_Coeff!$I$3+F17*Furnace_Coeff!$I$4</f>
        <v>0</v>
      </c>
      <c r="U17" s="4">
        <f>D17*Furnace_Coeff!$J$2+E17*Furnace_Coeff!$J$3+F17*Furnace_Coeff!$J$4</f>
        <v>0</v>
      </c>
      <c r="V17" s="4">
        <f>D17*Furnace_Coeff!$K$2+E17*Furnace_Coeff!$K$3+F17*Furnace_Coeff!$K$4</f>
        <v>0</v>
      </c>
      <c r="W17" s="14">
        <f t="shared" si="8"/>
        <v>0</v>
      </c>
      <c r="X17" s="13"/>
      <c r="Y17" s="4">
        <f t="shared" si="9"/>
        <v>0</v>
      </c>
      <c r="Z17" s="4">
        <f t="shared" si="10"/>
        <v>0</v>
      </c>
      <c r="AA17" s="4">
        <f t="shared" si="11"/>
        <v>0</v>
      </c>
      <c r="AB17" s="4">
        <f>$D$11*Furnace_Coeff!$L$2+$E$11*Furnace_Coeff!$L$3+$F$11*Furnace_Coeff!$L$4</f>
        <v>2.1</v>
      </c>
      <c r="AC17" s="4">
        <f>$D$11*Furnace_Coeff!$M$2+$E$11*Furnace_Coeff!$M$3+$F$11*Furnace_Coeff!$M$4</f>
        <v>2.5</v>
      </c>
      <c r="AD17" s="4">
        <f>$D$11*Furnace_Coeff!$N$2+$E$11*Furnace_Coeff!$N$3+$F$11*Furnace_Coeff!$N$4</f>
        <v>2.7</v>
      </c>
      <c r="AE17" s="14">
        <f t="shared" si="12"/>
        <v>0</v>
      </c>
      <c r="AF17" s="15">
        <f t="shared" si="13"/>
        <v>0</v>
      </c>
    </row>
    <row r="18" spans="1:32" x14ac:dyDescent="0.15">
      <c r="A18" s="4">
        <f t="shared" si="14"/>
        <v>7</v>
      </c>
      <c r="B18" s="13"/>
      <c r="C18" s="29"/>
      <c r="D18" s="4">
        <f t="shared" si="0"/>
        <v>0</v>
      </c>
      <c r="E18" s="4">
        <f t="shared" si="1"/>
        <v>0</v>
      </c>
      <c r="F18" s="4">
        <f t="shared" si="2"/>
        <v>0</v>
      </c>
      <c r="G18" s="4">
        <f>D18*Furnace_Coeff!$B$2+E18*Furnace_Coeff!$B$3+F18*Furnace_Coeff!$B$4</f>
        <v>0</v>
      </c>
      <c r="H18" s="4">
        <f>D18*Furnace_Coeff!$C$2+E18*Furnace_Coeff!$C$3+F18*Furnace_Coeff!$C$4</f>
        <v>0</v>
      </c>
      <c r="I18" s="4">
        <f>D18*Furnace_Coeff!$D$2+E18*Furnace_Coeff!$D$3+F18*Furnace_Coeff!$D$4</f>
        <v>0</v>
      </c>
      <c r="J18" s="14">
        <f>D18*Furnace_Coeff!$E$2+E18*Furnace_Coeff!$E$3+F18*Furnace_Coeff!$E$4</f>
        <v>0</v>
      </c>
      <c r="K18" s="14">
        <f>D18*Furnace_Coeff!$F$2+E18*Furnace_Coeff!$F$3+F18*Furnace_Coeff!$F$4</f>
        <v>0</v>
      </c>
      <c r="L18" s="13">
        <v>1</v>
      </c>
      <c r="M18" s="15">
        <f t="shared" si="3"/>
        <v>1</v>
      </c>
      <c r="N18" s="13"/>
      <c r="O18" s="4">
        <f t="shared" si="4"/>
        <v>0</v>
      </c>
      <c r="P18" s="4">
        <f t="shared" si="5"/>
        <v>0</v>
      </c>
      <c r="Q18" s="4">
        <f t="shared" si="6"/>
        <v>0</v>
      </c>
      <c r="R18" s="4">
        <f t="shared" si="7"/>
        <v>0</v>
      </c>
      <c r="S18" s="4">
        <f>D18*Furnace_Coeff!$H$2+E18*Furnace_Coeff!$H$3+F18*Furnace_Coeff!$H$4</f>
        <v>0</v>
      </c>
      <c r="T18" s="4">
        <f>D18*Furnace_Coeff!$I$2+E18*Furnace_Coeff!$I$3+F18*Furnace_Coeff!$I$4</f>
        <v>0</v>
      </c>
      <c r="U18" s="4">
        <f>D18*Furnace_Coeff!$J$2+E18*Furnace_Coeff!$J$3+F18*Furnace_Coeff!$J$4</f>
        <v>0</v>
      </c>
      <c r="V18" s="4">
        <f>D18*Furnace_Coeff!$K$2+E18*Furnace_Coeff!$K$3+F18*Furnace_Coeff!$K$4</f>
        <v>0</v>
      </c>
      <c r="W18" s="14">
        <f t="shared" si="8"/>
        <v>0</v>
      </c>
      <c r="X18" s="13"/>
      <c r="Y18" s="4">
        <f t="shared" si="9"/>
        <v>0</v>
      </c>
      <c r="Z18" s="4">
        <f t="shared" si="10"/>
        <v>0</v>
      </c>
      <c r="AA18" s="4">
        <f t="shared" si="11"/>
        <v>0</v>
      </c>
      <c r="AB18" s="4">
        <f>$D$11*Furnace_Coeff!$L$2+$E$11*Furnace_Coeff!$L$3+$F$11*Furnace_Coeff!$L$4</f>
        <v>2.1</v>
      </c>
      <c r="AC18" s="4">
        <f>$D$11*Furnace_Coeff!$M$2+$E$11*Furnace_Coeff!$M$3+$F$11*Furnace_Coeff!$M$4</f>
        <v>2.5</v>
      </c>
      <c r="AD18" s="4">
        <f>$D$11*Furnace_Coeff!$N$2+$E$11*Furnace_Coeff!$N$3+$F$11*Furnace_Coeff!$N$4</f>
        <v>2.7</v>
      </c>
      <c r="AE18" s="14">
        <f t="shared" si="12"/>
        <v>0</v>
      </c>
      <c r="AF18" s="15">
        <f t="shared" si="13"/>
        <v>0</v>
      </c>
    </row>
    <row r="19" spans="1:32" x14ac:dyDescent="0.15">
      <c r="A19" s="4">
        <f t="shared" si="14"/>
        <v>8</v>
      </c>
      <c r="B19" s="13"/>
      <c r="C19" s="29"/>
      <c r="D19" s="4">
        <f t="shared" si="0"/>
        <v>0</v>
      </c>
      <c r="E19" s="4">
        <f t="shared" si="1"/>
        <v>0</v>
      </c>
      <c r="F19" s="4">
        <f t="shared" si="2"/>
        <v>0</v>
      </c>
      <c r="G19" s="4">
        <f>D19*Furnace_Coeff!$B$2+E19*Furnace_Coeff!$B$3+F19*Furnace_Coeff!$B$4</f>
        <v>0</v>
      </c>
      <c r="H19" s="4">
        <f>D19*Furnace_Coeff!$C$2+E19*Furnace_Coeff!$C$3+F19*Furnace_Coeff!$C$4</f>
        <v>0</v>
      </c>
      <c r="I19" s="4">
        <f>D19*Furnace_Coeff!$D$2+E19*Furnace_Coeff!$D$3+F19*Furnace_Coeff!$D$4</f>
        <v>0</v>
      </c>
      <c r="J19" s="14">
        <f>D19*Furnace_Coeff!$E$2+E19*Furnace_Coeff!$E$3+F19*Furnace_Coeff!$E$4</f>
        <v>0</v>
      </c>
      <c r="K19" s="14">
        <f>D19*Furnace_Coeff!$F$2+E19*Furnace_Coeff!$F$3+F19*Furnace_Coeff!$F$4</f>
        <v>0</v>
      </c>
      <c r="L19" s="13">
        <v>1</v>
      </c>
      <c r="M19" s="15">
        <f t="shared" si="3"/>
        <v>1</v>
      </c>
      <c r="N19" s="13"/>
      <c r="O19" s="4">
        <f t="shared" si="4"/>
        <v>0</v>
      </c>
      <c r="P19" s="4">
        <f t="shared" si="5"/>
        <v>0</v>
      </c>
      <c r="Q19" s="4">
        <f t="shared" si="6"/>
        <v>0</v>
      </c>
      <c r="R19" s="4">
        <f t="shared" si="7"/>
        <v>0</v>
      </c>
      <c r="S19" s="4">
        <f>D19*Furnace_Coeff!$H$2+E19*Furnace_Coeff!$H$3+F19*Furnace_Coeff!$H$4</f>
        <v>0</v>
      </c>
      <c r="T19" s="4">
        <f>D19*Furnace_Coeff!$I$2+E19*Furnace_Coeff!$I$3+F19*Furnace_Coeff!$I$4</f>
        <v>0</v>
      </c>
      <c r="U19" s="4">
        <f>D19*Furnace_Coeff!$J$2+E19*Furnace_Coeff!$J$3+F19*Furnace_Coeff!$J$4</f>
        <v>0</v>
      </c>
      <c r="V19" s="4">
        <f>D19*Furnace_Coeff!$K$2+E19*Furnace_Coeff!$K$3+F19*Furnace_Coeff!$K$4</f>
        <v>0</v>
      </c>
      <c r="W19" s="14">
        <f t="shared" si="8"/>
        <v>0</v>
      </c>
      <c r="X19" s="13"/>
      <c r="Y19" s="4">
        <f t="shared" si="9"/>
        <v>0</v>
      </c>
      <c r="Z19" s="4">
        <f t="shared" si="10"/>
        <v>0</v>
      </c>
      <c r="AA19" s="4">
        <f t="shared" si="11"/>
        <v>0</v>
      </c>
      <c r="AB19" s="4">
        <f>$D$11*Furnace_Coeff!$L$2+$E$11*Furnace_Coeff!$L$3+$F$11*Furnace_Coeff!$L$4</f>
        <v>2.1</v>
      </c>
      <c r="AC19" s="4">
        <f>$D$11*Furnace_Coeff!$M$2+$E$11*Furnace_Coeff!$M$3+$F$11*Furnace_Coeff!$M$4</f>
        <v>2.5</v>
      </c>
      <c r="AD19" s="4">
        <f>$D$11*Furnace_Coeff!$N$2+$E$11*Furnace_Coeff!$N$3+$F$11*Furnace_Coeff!$N$4</f>
        <v>2.7</v>
      </c>
      <c r="AE19" s="14">
        <f t="shared" si="12"/>
        <v>0</v>
      </c>
      <c r="AF19" s="15">
        <f t="shared" si="13"/>
        <v>0</v>
      </c>
    </row>
    <row r="20" spans="1:32" x14ac:dyDescent="0.15">
      <c r="A20" s="4">
        <f t="shared" si="14"/>
        <v>9</v>
      </c>
      <c r="B20" s="13"/>
      <c r="C20" s="29"/>
      <c r="D20" s="4">
        <f t="shared" si="0"/>
        <v>0</v>
      </c>
      <c r="E20" s="4">
        <f t="shared" si="1"/>
        <v>0</v>
      </c>
      <c r="F20" s="4">
        <f t="shared" si="2"/>
        <v>0</v>
      </c>
      <c r="G20" s="4">
        <f>D20*Furnace_Coeff!$B$2+E20*Furnace_Coeff!$B$3+F20*Furnace_Coeff!$B$4</f>
        <v>0</v>
      </c>
      <c r="H20" s="4">
        <f>D20*Furnace_Coeff!$C$2+E20*Furnace_Coeff!$C$3+F20*Furnace_Coeff!$C$4</f>
        <v>0</v>
      </c>
      <c r="I20" s="4">
        <f>D20*Furnace_Coeff!$D$2+E20*Furnace_Coeff!$D$3+F20*Furnace_Coeff!$D$4</f>
        <v>0</v>
      </c>
      <c r="J20" s="14">
        <f>D20*Furnace_Coeff!$E$2+E20*Furnace_Coeff!$E$3+F20*Furnace_Coeff!$E$4</f>
        <v>0</v>
      </c>
      <c r="K20" s="14">
        <f>D20*Furnace_Coeff!$F$2+E20*Furnace_Coeff!$F$3+F20*Furnace_Coeff!$F$4</f>
        <v>0</v>
      </c>
      <c r="L20" s="13">
        <v>1</v>
      </c>
      <c r="M20" s="15">
        <f t="shared" si="3"/>
        <v>1</v>
      </c>
      <c r="N20" s="13"/>
      <c r="O20" s="4">
        <f t="shared" si="4"/>
        <v>0</v>
      </c>
      <c r="P20" s="4">
        <f t="shared" si="5"/>
        <v>0</v>
      </c>
      <c r="Q20" s="4">
        <f t="shared" si="6"/>
        <v>0</v>
      </c>
      <c r="R20" s="4">
        <f t="shared" si="7"/>
        <v>0</v>
      </c>
      <c r="S20" s="4">
        <f>D20*Furnace_Coeff!$H$2+E20*Furnace_Coeff!$H$3+F20*Furnace_Coeff!$H$4</f>
        <v>0</v>
      </c>
      <c r="T20" s="4">
        <f>D20*Furnace_Coeff!$I$2+E20*Furnace_Coeff!$I$3+F20*Furnace_Coeff!$I$4</f>
        <v>0</v>
      </c>
      <c r="U20" s="4">
        <f>D20*Furnace_Coeff!$J$2+E20*Furnace_Coeff!$J$3+F20*Furnace_Coeff!$J$4</f>
        <v>0</v>
      </c>
      <c r="V20" s="4">
        <f>D20*Furnace_Coeff!$K$2+E20*Furnace_Coeff!$K$3+F20*Furnace_Coeff!$K$4</f>
        <v>0</v>
      </c>
      <c r="W20" s="14">
        <f t="shared" si="8"/>
        <v>0</v>
      </c>
      <c r="X20" s="13"/>
      <c r="Y20" s="4">
        <f t="shared" si="9"/>
        <v>0</v>
      </c>
      <c r="Z20" s="4">
        <f t="shared" si="10"/>
        <v>0</v>
      </c>
      <c r="AA20" s="4">
        <f t="shared" si="11"/>
        <v>0</v>
      </c>
      <c r="AB20" s="4">
        <f>$D$11*Furnace_Coeff!$L$2+$E$11*Furnace_Coeff!$L$3+$F$11*Furnace_Coeff!$L$4</f>
        <v>2.1</v>
      </c>
      <c r="AC20" s="4">
        <f>$D$11*Furnace_Coeff!$M$2+$E$11*Furnace_Coeff!$M$3+$F$11*Furnace_Coeff!$M$4</f>
        <v>2.5</v>
      </c>
      <c r="AD20" s="4">
        <f>$D$11*Furnace_Coeff!$N$2+$E$11*Furnace_Coeff!$N$3+$F$11*Furnace_Coeff!$N$4</f>
        <v>2.7</v>
      </c>
      <c r="AE20" s="14">
        <f t="shared" si="12"/>
        <v>0</v>
      </c>
      <c r="AF20" s="15">
        <f t="shared" si="13"/>
        <v>0</v>
      </c>
    </row>
    <row r="21" spans="1:32" x14ac:dyDescent="0.15">
      <c r="A21" s="4">
        <f t="shared" si="14"/>
        <v>10</v>
      </c>
      <c r="B21" s="13"/>
      <c r="C21" s="29"/>
      <c r="D21" s="4">
        <f t="shared" si="0"/>
        <v>0</v>
      </c>
      <c r="E21" s="4">
        <f t="shared" si="1"/>
        <v>0</v>
      </c>
      <c r="F21" s="4">
        <f t="shared" si="2"/>
        <v>0</v>
      </c>
      <c r="G21" s="4">
        <f>D21*Furnace_Coeff!$B$2+E21*Furnace_Coeff!$B$3+F21*Furnace_Coeff!$B$4</f>
        <v>0</v>
      </c>
      <c r="H21" s="4">
        <f>D21*Furnace_Coeff!$C$2+E21*Furnace_Coeff!$C$3+F21*Furnace_Coeff!$C$4</f>
        <v>0</v>
      </c>
      <c r="I21" s="4">
        <f>D21*Furnace_Coeff!$D$2+E21*Furnace_Coeff!$D$3+F21*Furnace_Coeff!$D$4</f>
        <v>0</v>
      </c>
      <c r="J21" s="14">
        <f>D21*Furnace_Coeff!$E$2+E21*Furnace_Coeff!$E$3+F21*Furnace_Coeff!$E$4</f>
        <v>0</v>
      </c>
      <c r="K21" s="14">
        <f>D21*Furnace_Coeff!$F$2+E21*Furnace_Coeff!$F$3+F21*Furnace_Coeff!$F$4</f>
        <v>0</v>
      </c>
      <c r="L21" s="13">
        <v>1</v>
      </c>
      <c r="M21" s="15">
        <f t="shared" si="3"/>
        <v>1</v>
      </c>
      <c r="N21" s="13"/>
      <c r="O21" s="4">
        <f t="shared" si="4"/>
        <v>0</v>
      </c>
      <c r="P21" s="4">
        <f t="shared" si="5"/>
        <v>0</v>
      </c>
      <c r="Q21" s="4">
        <f t="shared" si="6"/>
        <v>0</v>
      </c>
      <c r="R21" s="4">
        <f t="shared" si="7"/>
        <v>0</v>
      </c>
      <c r="S21" s="4">
        <f>D21*Furnace_Coeff!$H$2+E21*Furnace_Coeff!$H$3+F21*Furnace_Coeff!$H$4</f>
        <v>0</v>
      </c>
      <c r="T21" s="4">
        <f>D21*Furnace_Coeff!$I$2+E21*Furnace_Coeff!$I$3+F21*Furnace_Coeff!$I$4</f>
        <v>0</v>
      </c>
      <c r="U21" s="4">
        <f>D21*Furnace_Coeff!$J$2+E21*Furnace_Coeff!$J$3+F21*Furnace_Coeff!$J$4</f>
        <v>0</v>
      </c>
      <c r="V21" s="4">
        <f>D21*Furnace_Coeff!$K$2+E21*Furnace_Coeff!$K$3+F21*Furnace_Coeff!$K$4</f>
        <v>0</v>
      </c>
      <c r="W21" s="14">
        <f t="shared" si="8"/>
        <v>0</v>
      </c>
      <c r="X21" s="13"/>
      <c r="Y21" s="4">
        <f t="shared" si="9"/>
        <v>0</v>
      </c>
      <c r="Z21" s="4">
        <f t="shared" si="10"/>
        <v>0</v>
      </c>
      <c r="AA21" s="4">
        <f t="shared" si="11"/>
        <v>0</v>
      </c>
      <c r="AB21" s="4">
        <f>$D$11*Furnace_Coeff!$L$2+$E$11*Furnace_Coeff!$L$3+$F$11*Furnace_Coeff!$L$4</f>
        <v>2.1</v>
      </c>
      <c r="AC21" s="4">
        <f>$D$11*Furnace_Coeff!$M$2+$E$11*Furnace_Coeff!$M$3+$F$11*Furnace_Coeff!$M$4</f>
        <v>2.5</v>
      </c>
      <c r="AD21" s="4">
        <f>$D$11*Furnace_Coeff!$N$2+$E$11*Furnace_Coeff!$N$3+$F$11*Furnace_Coeff!$N$4</f>
        <v>2.7</v>
      </c>
      <c r="AE21" s="14">
        <f t="shared" si="12"/>
        <v>0</v>
      </c>
      <c r="AF21" s="15">
        <f t="shared" si="13"/>
        <v>0</v>
      </c>
    </row>
    <row r="22" spans="1:32" x14ac:dyDescent="0.15">
      <c r="A22" s="4">
        <f t="shared" si="14"/>
        <v>11</v>
      </c>
      <c r="B22" s="13"/>
      <c r="C22" s="29"/>
      <c r="D22" s="4">
        <f t="shared" si="0"/>
        <v>0</v>
      </c>
      <c r="E22" s="4">
        <f t="shared" si="1"/>
        <v>0</v>
      </c>
      <c r="F22" s="4">
        <f t="shared" si="2"/>
        <v>0</v>
      </c>
      <c r="G22" s="4">
        <f>D22*Furnace_Coeff!$B$2+E22*Furnace_Coeff!$B$3+F22*Furnace_Coeff!$B$4</f>
        <v>0</v>
      </c>
      <c r="H22" s="4">
        <f>D22*Furnace_Coeff!$C$2+E22*Furnace_Coeff!$C$3+F22*Furnace_Coeff!$C$4</f>
        <v>0</v>
      </c>
      <c r="I22" s="4">
        <f>D22*Furnace_Coeff!$D$2+E22*Furnace_Coeff!$D$3+F22*Furnace_Coeff!$D$4</f>
        <v>0</v>
      </c>
      <c r="J22" s="14">
        <f>D22*Furnace_Coeff!$E$2+E22*Furnace_Coeff!$E$3+F22*Furnace_Coeff!$E$4</f>
        <v>0</v>
      </c>
      <c r="K22" s="14">
        <f>D22*Furnace_Coeff!$F$2+E22*Furnace_Coeff!$F$3+F22*Furnace_Coeff!$F$4</f>
        <v>0</v>
      </c>
      <c r="L22" s="13">
        <v>1</v>
      </c>
      <c r="M22" s="15">
        <f t="shared" si="3"/>
        <v>1</v>
      </c>
      <c r="N22" s="13"/>
      <c r="O22" s="4">
        <f t="shared" si="4"/>
        <v>0</v>
      </c>
      <c r="P22" s="4">
        <f t="shared" si="5"/>
        <v>0</v>
      </c>
      <c r="Q22" s="4">
        <f t="shared" si="6"/>
        <v>0</v>
      </c>
      <c r="R22" s="4">
        <f t="shared" si="7"/>
        <v>0</v>
      </c>
      <c r="S22" s="4">
        <f>D22*Furnace_Coeff!$H$2+E22*Furnace_Coeff!$H$3+F22*Furnace_Coeff!$H$4</f>
        <v>0</v>
      </c>
      <c r="T22" s="4">
        <f>D22*Furnace_Coeff!$I$2+E22*Furnace_Coeff!$I$3+F22*Furnace_Coeff!$I$4</f>
        <v>0</v>
      </c>
      <c r="U22" s="4">
        <f>D22*Furnace_Coeff!$J$2+E22*Furnace_Coeff!$J$3+F22*Furnace_Coeff!$J$4</f>
        <v>0</v>
      </c>
      <c r="V22" s="4">
        <f>D22*Furnace_Coeff!$K$2+E22*Furnace_Coeff!$K$3+F22*Furnace_Coeff!$K$4</f>
        <v>0</v>
      </c>
      <c r="W22" s="14">
        <f t="shared" si="8"/>
        <v>0</v>
      </c>
      <c r="X22" s="13"/>
      <c r="Y22" s="4">
        <f t="shared" si="9"/>
        <v>0</v>
      </c>
      <c r="Z22" s="4">
        <f t="shared" si="10"/>
        <v>0</v>
      </c>
      <c r="AA22" s="4">
        <f t="shared" si="11"/>
        <v>0</v>
      </c>
      <c r="AB22" s="4">
        <f>$D$11*Furnace_Coeff!$L$2+$E$11*Furnace_Coeff!$L$3+$F$11*Furnace_Coeff!$L$4</f>
        <v>2.1</v>
      </c>
      <c r="AC22" s="4">
        <f>$D$11*Furnace_Coeff!$M$2+$E$11*Furnace_Coeff!$M$3+$F$11*Furnace_Coeff!$M$4</f>
        <v>2.5</v>
      </c>
      <c r="AD22" s="4">
        <f>$D$11*Furnace_Coeff!$N$2+$E$11*Furnace_Coeff!$N$3+$F$11*Furnace_Coeff!$N$4</f>
        <v>2.7</v>
      </c>
      <c r="AE22" s="14">
        <f t="shared" si="12"/>
        <v>0</v>
      </c>
      <c r="AF22" s="15">
        <f t="shared" si="13"/>
        <v>0</v>
      </c>
    </row>
    <row r="23" spans="1:32" x14ac:dyDescent="0.15">
      <c r="A23" s="4">
        <f t="shared" si="14"/>
        <v>12</v>
      </c>
      <c r="B23" s="13"/>
      <c r="C23" s="29"/>
      <c r="D23" s="4">
        <f t="shared" si="0"/>
        <v>0</v>
      </c>
      <c r="E23" s="4">
        <f t="shared" si="1"/>
        <v>0</v>
      </c>
      <c r="F23" s="4">
        <f t="shared" si="2"/>
        <v>0</v>
      </c>
      <c r="G23" s="4">
        <f>D23*Furnace_Coeff!$B$2+E23*Furnace_Coeff!$B$3+F23*Furnace_Coeff!$B$4</f>
        <v>0</v>
      </c>
      <c r="H23" s="4">
        <f>D23*Furnace_Coeff!$C$2+E23*Furnace_Coeff!$C$3+F23*Furnace_Coeff!$C$4</f>
        <v>0</v>
      </c>
      <c r="I23" s="4">
        <f>D23*Furnace_Coeff!$D$2+E23*Furnace_Coeff!$D$3+F23*Furnace_Coeff!$D$4</f>
        <v>0</v>
      </c>
      <c r="J23" s="14">
        <f>D23*Furnace_Coeff!$E$2+E23*Furnace_Coeff!$E$3+F23*Furnace_Coeff!$E$4</f>
        <v>0</v>
      </c>
      <c r="K23" s="14">
        <f>D23*Furnace_Coeff!$F$2+E23*Furnace_Coeff!$F$3+F23*Furnace_Coeff!$F$4</f>
        <v>0</v>
      </c>
      <c r="L23" s="13">
        <v>1</v>
      </c>
      <c r="M23" s="15">
        <f t="shared" si="3"/>
        <v>1</v>
      </c>
      <c r="N23" s="13"/>
      <c r="O23" s="4">
        <f t="shared" si="4"/>
        <v>0</v>
      </c>
      <c r="P23" s="4">
        <f t="shared" si="5"/>
        <v>0</v>
      </c>
      <c r="Q23" s="4">
        <f t="shared" si="6"/>
        <v>0</v>
      </c>
      <c r="R23" s="4">
        <f t="shared" si="7"/>
        <v>0</v>
      </c>
      <c r="S23" s="4">
        <f>D23*Furnace_Coeff!$H$2+E23*Furnace_Coeff!$H$3+F23*Furnace_Coeff!$H$4</f>
        <v>0</v>
      </c>
      <c r="T23" s="4">
        <f>D23*Furnace_Coeff!$I$2+E23*Furnace_Coeff!$I$3+F23*Furnace_Coeff!$I$4</f>
        <v>0</v>
      </c>
      <c r="U23" s="4">
        <f>D23*Furnace_Coeff!$J$2+E23*Furnace_Coeff!$J$3+F23*Furnace_Coeff!$J$4</f>
        <v>0</v>
      </c>
      <c r="V23" s="4">
        <f>D23*Furnace_Coeff!$K$2+E23*Furnace_Coeff!$K$3+F23*Furnace_Coeff!$K$4</f>
        <v>0</v>
      </c>
      <c r="W23" s="14">
        <f t="shared" si="8"/>
        <v>0</v>
      </c>
      <c r="X23" s="13"/>
      <c r="Y23" s="4">
        <f t="shared" si="9"/>
        <v>0</v>
      </c>
      <c r="Z23" s="4">
        <f t="shared" si="10"/>
        <v>0</v>
      </c>
      <c r="AA23" s="4">
        <f t="shared" si="11"/>
        <v>0</v>
      </c>
      <c r="AB23" s="4">
        <f>$D$11*Furnace_Coeff!$L$2+$E$11*Furnace_Coeff!$L$3+$F$11*Furnace_Coeff!$L$4</f>
        <v>2.1</v>
      </c>
      <c r="AC23" s="4">
        <f>$D$11*Furnace_Coeff!$M$2+$E$11*Furnace_Coeff!$M$3+$F$11*Furnace_Coeff!$M$4</f>
        <v>2.5</v>
      </c>
      <c r="AD23" s="4">
        <f>$D$11*Furnace_Coeff!$N$2+$E$11*Furnace_Coeff!$N$3+$F$11*Furnace_Coeff!$N$4</f>
        <v>2.7</v>
      </c>
      <c r="AE23" s="14">
        <f t="shared" si="12"/>
        <v>0</v>
      </c>
      <c r="AF23" s="15">
        <f t="shared" si="13"/>
        <v>0</v>
      </c>
    </row>
    <row r="24" spans="1:32" x14ac:dyDescent="0.15">
      <c r="A24" s="4">
        <f t="shared" si="14"/>
        <v>13</v>
      </c>
      <c r="B24" s="13"/>
      <c r="C24" s="29"/>
      <c r="D24" s="4">
        <f t="shared" si="0"/>
        <v>0</v>
      </c>
      <c r="E24" s="4">
        <f t="shared" si="1"/>
        <v>0</v>
      </c>
      <c r="F24" s="4">
        <f t="shared" si="2"/>
        <v>0</v>
      </c>
      <c r="G24" s="4">
        <f>D24*Furnace_Coeff!$B$2+E24*Furnace_Coeff!$B$3+F24*Furnace_Coeff!$B$4</f>
        <v>0</v>
      </c>
      <c r="H24" s="4">
        <f>D24*Furnace_Coeff!$C$2+E24*Furnace_Coeff!$C$3+F24*Furnace_Coeff!$C$4</f>
        <v>0</v>
      </c>
      <c r="I24" s="4">
        <f>D24*Furnace_Coeff!$D$2+E24*Furnace_Coeff!$D$3+F24*Furnace_Coeff!$D$4</f>
        <v>0</v>
      </c>
      <c r="J24" s="14">
        <f>D24*Furnace_Coeff!$E$2+E24*Furnace_Coeff!$E$3+F24*Furnace_Coeff!$E$4</f>
        <v>0</v>
      </c>
      <c r="K24" s="14">
        <f>D24*Furnace_Coeff!$F$2+E24*Furnace_Coeff!$F$3+F24*Furnace_Coeff!$F$4</f>
        <v>0</v>
      </c>
      <c r="L24" s="13">
        <v>1</v>
      </c>
      <c r="M24" s="15">
        <f t="shared" si="3"/>
        <v>1</v>
      </c>
      <c r="N24" s="13"/>
      <c r="O24" s="4">
        <f t="shared" si="4"/>
        <v>0</v>
      </c>
      <c r="P24" s="4">
        <f t="shared" si="5"/>
        <v>0</v>
      </c>
      <c r="Q24" s="4">
        <f t="shared" si="6"/>
        <v>0</v>
      </c>
      <c r="R24" s="4">
        <f t="shared" si="7"/>
        <v>0</v>
      </c>
      <c r="S24" s="4">
        <f>D24*Furnace_Coeff!$H$2+E24*Furnace_Coeff!$H$3+F24*Furnace_Coeff!$H$4</f>
        <v>0</v>
      </c>
      <c r="T24" s="4">
        <f>D24*Furnace_Coeff!$I$2+E24*Furnace_Coeff!$I$3+F24*Furnace_Coeff!$I$4</f>
        <v>0</v>
      </c>
      <c r="U24" s="4">
        <f>D24*Furnace_Coeff!$J$2+E24*Furnace_Coeff!$J$3+F24*Furnace_Coeff!$J$4</f>
        <v>0</v>
      </c>
      <c r="V24" s="4">
        <f>D24*Furnace_Coeff!$K$2+E24*Furnace_Coeff!$K$3+F24*Furnace_Coeff!$K$4</f>
        <v>0</v>
      </c>
      <c r="W24" s="14">
        <f t="shared" si="8"/>
        <v>0</v>
      </c>
      <c r="X24" s="13"/>
      <c r="Y24" s="4">
        <f t="shared" si="9"/>
        <v>0</v>
      </c>
      <c r="Z24" s="4">
        <f t="shared" si="10"/>
        <v>0</v>
      </c>
      <c r="AA24" s="4">
        <f t="shared" si="11"/>
        <v>0</v>
      </c>
      <c r="AB24" s="4">
        <f>$D$11*Furnace_Coeff!$L$2+$E$11*Furnace_Coeff!$L$3+$F$11*Furnace_Coeff!$L$4</f>
        <v>2.1</v>
      </c>
      <c r="AC24" s="4">
        <f>$D$11*Furnace_Coeff!$M$2+$E$11*Furnace_Coeff!$M$3+$F$11*Furnace_Coeff!$M$4</f>
        <v>2.5</v>
      </c>
      <c r="AD24" s="4">
        <f>$D$11*Furnace_Coeff!$N$2+$E$11*Furnace_Coeff!$N$3+$F$11*Furnace_Coeff!$N$4</f>
        <v>2.7</v>
      </c>
      <c r="AE24" s="14">
        <f t="shared" si="12"/>
        <v>0</v>
      </c>
      <c r="AF24" s="15">
        <f t="shared" si="13"/>
        <v>0</v>
      </c>
    </row>
    <row r="25" spans="1:32" x14ac:dyDescent="0.15">
      <c r="A25" s="4">
        <f t="shared" si="14"/>
        <v>14</v>
      </c>
      <c r="B25" s="13"/>
      <c r="C25" s="29"/>
      <c r="D25" s="4">
        <f t="shared" si="0"/>
        <v>0</v>
      </c>
      <c r="E25" s="4">
        <f t="shared" si="1"/>
        <v>0</v>
      </c>
      <c r="F25" s="4">
        <f t="shared" si="2"/>
        <v>0</v>
      </c>
      <c r="G25" s="4">
        <f>D25*Furnace_Coeff!$B$2+E25*Furnace_Coeff!$B$3+F25*Furnace_Coeff!$B$4</f>
        <v>0</v>
      </c>
      <c r="H25" s="4">
        <f>D25*Furnace_Coeff!$C$2+E25*Furnace_Coeff!$C$3+F25*Furnace_Coeff!$C$4</f>
        <v>0</v>
      </c>
      <c r="I25" s="4">
        <f>D25*Furnace_Coeff!$D$2+E25*Furnace_Coeff!$D$3+F25*Furnace_Coeff!$D$4</f>
        <v>0</v>
      </c>
      <c r="J25" s="14">
        <f>D25*Furnace_Coeff!$E$2+E25*Furnace_Coeff!$E$3+F25*Furnace_Coeff!$E$4</f>
        <v>0</v>
      </c>
      <c r="K25" s="14">
        <f>D25*Furnace_Coeff!$F$2+E25*Furnace_Coeff!$F$3+F25*Furnace_Coeff!$F$4</f>
        <v>0</v>
      </c>
      <c r="L25" s="13">
        <v>1</v>
      </c>
      <c r="M25" s="15">
        <f t="shared" si="3"/>
        <v>1</v>
      </c>
      <c r="N25" s="13"/>
      <c r="O25" s="4">
        <f t="shared" si="4"/>
        <v>0</v>
      </c>
      <c r="P25" s="4">
        <f t="shared" si="5"/>
        <v>0</v>
      </c>
      <c r="Q25" s="4">
        <f t="shared" si="6"/>
        <v>0</v>
      </c>
      <c r="R25" s="4">
        <f t="shared" si="7"/>
        <v>0</v>
      </c>
      <c r="S25" s="4">
        <f>D25*Furnace_Coeff!$H$2+E25*Furnace_Coeff!$H$3+F25*Furnace_Coeff!$H$4</f>
        <v>0</v>
      </c>
      <c r="T25" s="4">
        <f>D25*Furnace_Coeff!$I$2+E25*Furnace_Coeff!$I$3+F25*Furnace_Coeff!$I$4</f>
        <v>0</v>
      </c>
      <c r="U25" s="4">
        <f>D25*Furnace_Coeff!$J$2+E25*Furnace_Coeff!$J$3+F25*Furnace_Coeff!$J$4</f>
        <v>0</v>
      </c>
      <c r="V25" s="4">
        <f>D25*Furnace_Coeff!$K$2+E25*Furnace_Coeff!$K$3+F25*Furnace_Coeff!$K$4</f>
        <v>0</v>
      </c>
      <c r="W25" s="14">
        <f t="shared" si="8"/>
        <v>0</v>
      </c>
      <c r="X25" s="13"/>
      <c r="Y25" s="4">
        <f t="shared" si="9"/>
        <v>0</v>
      </c>
      <c r="Z25" s="4">
        <f t="shared" si="10"/>
        <v>0</v>
      </c>
      <c r="AA25" s="4">
        <f t="shared" si="11"/>
        <v>0</v>
      </c>
      <c r="AB25" s="4">
        <f>$D$11*Furnace_Coeff!$L$2+$E$11*Furnace_Coeff!$L$3+$F$11*Furnace_Coeff!$L$4</f>
        <v>2.1</v>
      </c>
      <c r="AC25" s="4">
        <f>$D$11*Furnace_Coeff!$M$2+$E$11*Furnace_Coeff!$M$3+$F$11*Furnace_Coeff!$M$4</f>
        <v>2.5</v>
      </c>
      <c r="AD25" s="4">
        <f>$D$11*Furnace_Coeff!$N$2+$E$11*Furnace_Coeff!$N$3+$F$11*Furnace_Coeff!$N$4</f>
        <v>2.7</v>
      </c>
      <c r="AE25" s="14">
        <f t="shared" si="12"/>
        <v>0</v>
      </c>
      <c r="AF25" s="15">
        <f t="shared" si="13"/>
        <v>0</v>
      </c>
    </row>
    <row r="26" spans="1:32" x14ac:dyDescent="0.15">
      <c r="A26" s="4">
        <f t="shared" si="14"/>
        <v>15</v>
      </c>
      <c r="B26" s="13"/>
      <c r="C26" s="29"/>
      <c r="D26" s="4">
        <f t="shared" si="0"/>
        <v>0</v>
      </c>
      <c r="E26" s="4">
        <f t="shared" si="1"/>
        <v>0</v>
      </c>
      <c r="F26" s="4">
        <f t="shared" si="2"/>
        <v>0</v>
      </c>
      <c r="G26" s="4">
        <f>D26*Furnace_Coeff!$B$2+E26*Furnace_Coeff!$B$3+F26*Furnace_Coeff!$B$4</f>
        <v>0</v>
      </c>
      <c r="H26" s="4">
        <f>D26*Furnace_Coeff!$C$2+E26*Furnace_Coeff!$C$3+F26*Furnace_Coeff!$C$4</f>
        <v>0</v>
      </c>
      <c r="I26" s="4">
        <f>D26*Furnace_Coeff!$D$2+E26*Furnace_Coeff!$D$3+F26*Furnace_Coeff!$D$4</f>
        <v>0</v>
      </c>
      <c r="J26" s="14">
        <f>D26*Furnace_Coeff!$E$2+E26*Furnace_Coeff!$E$3+F26*Furnace_Coeff!$E$4</f>
        <v>0</v>
      </c>
      <c r="K26" s="14">
        <f>D26*Furnace_Coeff!$F$2+E26*Furnace_Coeff!$F$3+F26*Furnace_Coeff!$F$4</f>
        <v>0</v>
      </c>
      <c r="L26" s="13">
        <v>1</v>
      </c>
      <c r="M26" s="15">
        <f t="shared" si="3"/>
        <v>1</v>
      </c>
      <c r="N26" s="13"/>
      <c r="O26" s="4">
        <f t="shared" si="4"/>
        <v>0</v>
      </c>
      <c r="P26" s="4">
        <f t="shared" si="5"/>
        <v>0</v>
      </c>
      <c r="Q26" s="4">
        <f t="shared" si="6"/>
        <v>0</v>
      </c>
      <c r="R26" s="4">
        <f t="shared" si="7"/>
        <v>0</v>
      </c>
      <c r="S26" s="4">
        <f>D26*Furnace_Coeff!$H$2+E26*Furnace_Coeff!$H$3+F26*Furnace_Coeff!$H$4</f>
        <v>0</v>
      </c>
      <c r="T26" s="4">
        <f>D26*Furnace_Coeff!$I$2+E26*Furnace_Coeff!$I$3+F26*Furnace_Coeff!$I$4</f>
        <v>0</v>
      </c>
      <c r="U26" s="4">
        <f>D26*Furnace_Coeff!$J$2+E26*Furnace_Coeff!$J$3+F26*Furnace_Coeff!$J$4</f>
        <v>0</v>
      </c>
      <c r="V26" s="4">
        <f>D26*Furnace_Coeff!$K$2+E26*Furnace_Coeff!$K$3+F26*Furnace_Coeff!$K$4</f>
        <v>0</v>
      </c>
      <c r="W26" s="14">
        <f t="shared" si="8"/>
        <v>0</v>
      </c>
      <c r="X26" s="13"/>
      <c r="Y26" s="4">
        <f t="shared" si="9"/>
        <v>0</v>
      </c>
      <c r="Z26" s="4">
        <f t="shared" si="10"/>
        <v>0</v>
      </c>
      <c r="AA26" s="4">
        <f t="shared" si="11"/>
        <v>0</v>
      </c>
      <c r="AB26" s="4">
        <f>$D$11*Furnace_Coeff!$L$2+$E$11*Furnace_Coeff!$L$3+$F$11*Furnace_Coeff!$L$4</f>
        <v>2.1</v>
      </c>
      <c r="AC26" s="4">
        <f>$D$11*Furnace_Coeff!$M$2+$E$11*Furnace_Coeff!$M$3+$F$11*Furnace_Coeff!$M$4</f>
        <v>2.5</v>
      </c>
      <c r="AD26" s="4">
        <f>$D$11*Furnace_Coeff!$N$2+$E$11*Furnace_Coeff!$N$3+$F$11*Furnace_Coeff!$N$4</f>
        <v>2.7</v>
      </c>
      <c r="AE26" s="14">
        <f t="shared" si="12"/>
        <v>0</v>
      </c>
      <c r="AF26" s="15">
        <f t="shared" si="13"/>
        <v>0</v>
      </c>
    </row>
    <row r="27" spans="1:32" x14ac:dyDescent="0.15">
      <c r="A27" s="4">
        <f t="shared" si="14"/>
        <v>16</v>
      </c>
      <c r="B27" s="13"/>
      <c r="C27" s="29"/>
      <c r="D27" s="4">
        <f t="shared" si="0"/>
        <v>0</v>
      </c>
      <c r="E27" s="4">
        <f t="shared" si="1"/>
        <v>0</v>
      </c>
      <c r="F27" s="4">
        <f t="shared" si="2"/>
        <v>0</v>
      </c>
      <c r="G27" s="4">
        <f>D27*Furnace_Coeff!$B$2+E27*Furnace_Coeff!$B$3+F27*Furnace_Coeff!$B$4</f>
        <v>0</v>
      </c>
      <c r="H27" s="4">
        <f>D27*Furnace_Coeff!$C$2+E27*Furnace_Coeff!$C$3+F27*Furnace_Coeff!$C$4</f>
        <v>0</v>
      </c>
      <c r="I27" s="4">
        <f>D27*Furnace_Coeff!$D$2+E27*Furnace_Coeff!$D$3+F27*Furnace_Coeff!$D$4</f>
        <v>0</v>
      </c>
      <c r="J27" s="14">
        <f>D27*Furnace_Coeff!$E$2+E27*Furnace_Coeff!$E$3+F27*Furnace_Coeff!$E$4</f>
        <v>0</v>
      </c>
      <c r="K27" s="14">
        <f>D27*Furnace_Coeff!$F$2+E27*Furnace_Coeff!$F$3+F27*Furnace_Coeff!$F$4</f>
        <v>0</v>
      </c>
      <c r="L27" s="13">
        <v>1</v>
      </c>
      <c r="M27" s="15">
        <f t="shared" si="3"/>
        <v>1</v>
      </c>
      <c r="N27" s="13"/>
      <c r="O27" s="4">
        <f t="shared" si="4"/>
        <v>0</v>
      </c>
      <c r="P27" s="4">
        <f t="shared" si="5"/>
        <v>0</v>
      </c>
      <c r="Q27" s="4">
        <f t="shared" si="6"/>
        <v>0</v>
      </c>
      <c r="R27" s="4">
        <f t="shared" si="7"/>
        <v>0</v>
      </c>
      <c r="S27" s="4">
        <f>D27*Furnace_Coeff!$H$2+E27*Furnace_Coeff!$H$3+F27*Furnace_Coeff!$H$4</f>
        <v>0</v>
      </c>
      <c r="T27" s="4">
        <f>D27*Furnace_Coeff!$I$2+E27*Furnace_Coeff!$I$3+F27*Furnace_Coeff!$I$4</f>
        <v>0</v>
      </c>
      <c r="U27" s="4">
        <f>D27*Furnace_Coeff!$J$2+E27*Furnace_Coeff!$J$3+F27*Furnace_Coeff!$J$4</f>
        <v>0</v>
      </c>
      <c r="V27" s="4">
        <f>D27*Furnace_Coeff!$K$2+E27*Furnace_Coeff!$K$3+F27*Furnace_Coeff!$K$4</f>
        <v>0</v>
      </c>
      <c r="W27" s="14">
        <f t="shared" si="8"/>
        <v>0</v>
      </c>
      <c r="X27" s="13"/>
      <c r="Y27" s="4">
        <f t="shared" si="9"/>
        <v>0</v>
      </c>
      <c r="Z27" s="4">
        <f t="shared" si="10"/>
        <v>0</v>
      </c>
      <c r="AA27" s="4">
        <f t="shared" si="11"/>
        <v>0</v>
      </c>
      <c r="AB27" s="4">
        <f>$D$11*Furnace_Coeff!$L$2+$E$11*Furnace_Coeff!$L$3+$F$11*Furnace_Coeff!$L$4</f>
        <v>2.1</v>
      </c>
      <c r="AC27" s="4">
        <f>$D$11*Furnace_Coeff!$M$2+$E$11*Furnace_Coeff!$M$3+$F$11*Furnace_Coeff!$M$4</f>
        <v>2.5</v>
      </c>
      <c r="AD27" s="4">
        <f>$D$11*Furnace_Coeff!$N$2+$E$11*Furnace_Coeff!$N$3+$F$11*Furnace_Coeff!$N$4</f>
        <v>2.7</v>
      </c>
      <c r="AE27" s="14">
        <f t="shared" si="12"/>
        <v>0</v>
      </c>
      <c r="AF27" s="15">
        <f t="shared" si="13"/>
        <v>0</v>
      </c>
    </row>
    <row r="28" spans="1:32" x14ac:dyDescent="0.15">
      <c r="A28" s="4">
        <f t="shared" si="14"/>
        <v>17</v>
      </c>
      <c r="B28" s="13"/>
      <c r="C28" s="29"/>
      <c r="D28" s="4">
        <f t="shared" si="0"/>
        <v>0</v>
      </c>
      <c r="E28" s="4">
        <f t="shared" si="1"/>
        <v>0</v>
      </c>
      <c r="F28" s="4">
        <f t="shared" si="2"/>
        <v>0</v>
      </c>
      <c r="G28" s="4">
        <f>D28*Furnace_Coeff!$B$2+E28*Furnace_Coeff!$B$3+F28*Furnace_Coeff!$B$4</f>
        <v>0</v>
      </c>
      <c r="H28" s="4">
        <f>D28*Furnace_Coeff!$C$2+E28*Furnace_Coeff!$C$3+F28*Furnace_Coeff!$C$4</f>
        <v>0</v>
      </c>
      <c r="I28" s="4">
        <f>D28*Furnace_Coeff!$D$2+E28*Furnace_Coeff!$D$3+F28*Furnace_Coeff!$D$4</f>
        <v>0</v>
      </c>
      <c r="J28" s="14">
        <f>D28*Furnace_Coeff!$E$2+E28*Furnace_Coeff!$E$3+F28*Furnace_Coeff!$E$4</f>
        <v>0</v>
      </c>
      <c r="K28" s="14">
        <f>D28*Furnace_Coeff!$F$2+E28*Furnace_Coeff!$F$3+F28*Furnace_Coeff!$F$4</f>
        <v>0</v>
      </c>
      <c r="L28" s="13">
        <v>1</v>
      </c>
      <c r="M28" s="15">
        <f t="shared" si="3"/>
        <v>1</v>
      </c>
      <c r="N28" s="13"/>
      <c r="O28" s="4">
        <f t="shared" si="4"/>
        <v>0</v>
      </c>
      <c r="P28" s="4">
        <f t="shared" si="5"/>
        <v>0</v>
      </c>
      <c r="Q28" s="4">
        <f t="shared" si="6"/>
        <v>0</v>
      </c>
      <c r="R28" s="4">
        <f t="shared" si="7"/>
        <v>0</v>
      </c>
      <c r="S28" s="4">
        <f>D28*Furnace_Coeff!$H$2+E28*Furnace_Coeff!$H$3+F28*Furnace_Coeff!$H$4</f>
        <v>0</v>
      </c>
      <c r="T28" s="4">
        <f>D28*Furnace_Coeff!$I$2+E28*Furnace_Coeff!$I$3+F28*Furnace_Coeff!$I$4</f>
        <v>0</v>
      </c>
      <c r="U28" s="4">
        <f>D28*Furnace_Coeff!$J$2+E28*Furnace_Coeff!$J$3+F28*Furnace_Coeff!$J$4</f>
        <v>0</v>
      </c>
      <c r="V28" s="4">
        <f>D28*Furnace_Coeff!$K$2+E28*Furnace_Coeff!$K$3+F28*Furnace_Coeff!$K$4</f>
        <v>0</v>
      </c>
      <c r="W28" s="14">
        <f t="shared" si="8"/>
        <v>0</v>
      </c>
      <c r="X28" s="13"/>
      <c r="Y28" s="4">
        <f t="shared" si="9"/>
        <v>0</v>
      </c>
      <c r="Z28" s="4">
        <f t="shared" si="10"/>
        <v>0</v>
      </c>
      <c r="AA28" s="4">
        <f t="shared" si="11"/>
        <v>0</v>
      </c>
      <c r="AB28" s="4">
        <f>$D$11*Furnace_Coeff!$L$2+$E$11*Furnace_Coeff!$L$3+$F$11*Furnace_Coeff!$L$4</f>
        <v>2.1</v>
      </c>
      <c r="AC28" s="4">
        <f>$D$11*Furnace_Coeff!$M$2+$E$11*Furnace_Coeff!$M$3+$F$11*Furnace_Coeff!$M$4</f>
        <v>2.5</v>
      </c>
      <c r="AD28" s="4">
        <f>$D$11*Furnace_Coeff!$N$2+$E$11*Furnace_Coeff!$N$3+$F$11*Furnace_Coeff!$N$4</f>
        <v>2.7</v>
      </c>
      <c r="AE28" s="14">
        <f t="shared" si="12"/>
        <v>0</v>
      </c>
      <c r="AF28" s="15">
        <f t="shared" si="13"/>
        <v>0</v>
      </c>
    </row>
    <row r="29" spans="1:32" x14ac:dyDescent="0.15">
      <c r="A29" s="4">
        <f t="shared" si="14"/>
        <v>18</v>
      </c>
      <c r="B29" s="13"/>
      <c r="C29" s="29"/>
      <c r="D29" s="4">
        <f t="shared" si="0"/>
        <v>0</v>
      </c>
      <c r="E29" s="4">
        <f t="shared" si="1"/>
        <v>0</v>
      </c>
      <c r="F29" s="4">
        <f t="shared" si="2"/>
        <v>0</v>
      </c>
      <c r="G29" s="4">
        <f>D29*Furnace_Coeff!$B$2+E29*Furnace_Coeff!$B$3+F29*Furnace_Coeff!$B$4</f>
        <v>0</v>
      </c>
      <c r="H29" s="4">
        <f>D29*Furnace_Coeff!$C$2+E29*Furnace_Coeff!$C$3+F29*Furnace_Coeff!$C$4</f>
        <v>0</v>
      </c>
      <c r="I29" s="4">
        <f>D29*Furnace_Coeff!$D$2+E29*Furnace_Coeff!$D$3+F29*Furnace_Coeff!$D$4</f>
        <v>0</v>
      </c>
      <c r="J29" s="14">
        <f>D29*Furnace_Coeff!$E$2+E29*Furnace_Coeff!$E$3+F29*Furnace_Coeff!$E$4</f>
        <v>0</v>
      </c>
      <c r="K29" s="14">
        <f>D29*Furnace_Coeff!$F$2+E29*Furnace_Coeff!$F$3+F29*Furnace_Coeff!$F$4</f>
        <v>0</v>
      </c>
      <c r="L29" s="13">
        <v>1</v>
      </c>
      <c r="M29" s="15">
        <f t="shared" si="3"/>
        <v>1</v>
      </c>
      <c r="N29" s="13"/>
      <c r="O29" s="4">
        <f t="shared" si="4"/>
        <v>0</v>
      </c>
      <c r="P29" s="4">
        <f t="shared" si="5"/>
        <v>0</v>
      </c>
      <c r="Q29" s="4">
        <f t="shared" si="6"/>
        <v>0</v>
      </c>
      <c r="R29" s="4">
        <f t="shared" si="7"/>
        <v>0</v>
      </c>
      <c r="S29" s="4">
        <f>D29*Furnace_Coeff!$H$2+E29*Furnace_Coeff!$H$3+F29*Furnace_Coeff!$H$4</f>
        <v>0</v>
      </c>
      <c r="T29" s="4">
        <f>D29*Furnace_Coeff!$I$2+E29*Furnace_Coeff!$I$3+F29*Furnace_Coeff!$I$4</f>
        <v>0</v>
      </c>
      <c r="U29" s="4">
        <f>D29*Furnace_Coeff!$J$2+E29*Furnace_Coeff!$J$3+F29*Furnace_Coeff!$J$4</f>
        <v>0</v>
      </c>
      <c r="V29" s="4">
        <f>D29*Furnace_Coeff!$K$2+E29*Furnace_Coeff!$K$3+F29*Furnace_Coeff!$K$4</f>
        <v>0</v>
      </c>
      <c r="W29" s="14">
        <f t="shared" si="8"/>
        <v>0</v>
      </c>
      <c r="X29" s="13"/>
      <c r="Y29" s="4">
        <f t="shared" si="9"/>
        <v>0</v>
      </c>
      <c r="Z29" s="4">
        <f t="shared" si="10"/>
        <v>0</v>
      </c>
      <c r="AA29" s="4">
        <f t="shared" si="11"/>
        <v>0</v>
      </c>
      <c r="AB29" s="4">
        <f>$D$11*Furnace_Coeff!$L$2+$E$11*Furnace_Coeff!$L$3+$F$11*Furnace_Coeff!$L$4</f>
        <v>2.1</v>
      </c>
      <c r="AC29" s="4">
        <f>$D$11*Furnace_Coeff!$M$2+$E$11*Furnace_Coeff!$M$3+$F$11*Furnace_Coeff!$M$4</f>
        <v>2.5</v>
      </c>
      <c r="AD29" s="4">
        <f>$D$11*Furnace_Coeff!$N$2+$E$11*Furnace_Coeff!$N$3+$F$11*Furnace_Coeff!$N$4</f>
        <v>2.7</v>
      </c>
      <c r="AE29" s="14">
        <f t="shared" si="12"/>
        <v>0</v>
      </c>
      <c r="AF29" s="15">
        <f t="shared" si="13"/>
        <v>0</v>
      </c>
    </row>
    <row r="30" spans="1:32" x14ac:dyDescent="0.15">
      <c r="A30" s="4">
        <f t="shared" si="14"/>
        <v>19</v>
      </c>
      <c r="B30" s="13"/>
      <c r="C30" s="29"/>
      <c r="D30" s="4">
        <f t="shared" si="0"/>
        <v>0</v>
      </c>
      <c r="E30" s="4">
        <f t="shared" si="1"/>
        <v>0</v>
      </c>
      <c r="F30" s="4">
        <f t="shared" si="2"/>
        <v>0</v>
      </c>
      <c r="G30" s="4">
        <f>D30*Furnace_Coeff!$B$2+E30*Furnace_Coeff!$B$3+F30*Furnace_Coeff!$B$4</f>
        <v>0</v>
      </c>
      <c r="H30" s="4">
        <f>D30*Furnace_Coeff!$C$2+E30*Furnace_Coeff!$C$3+F30*Furnace_Coeff!$C$4</f>
        <v>0</v>
      </c>
      <c r="I30" s="4">
        <f>D30*Furnace_Coeff!$D$2+E30*Furnace_Coeff!$D$3+F30*Furnace_Coeff!$D$4</f>
        <v>0</v>
      </c>
      <c r="J30" s="14">
        <f>D30*Furnace_Coeff!$E$2+E30*Furnace_Coeff!$E$3+F30*Furnace_Coeff!$E$4</f>
        <v>0</v>
      </c>
      <c r="K30" s="14">
        <f>D30*Furnace_Coeff!$F$2+E30*Furnace_Coeff!$F$3+F30*Furnace_Coeff!$F$4</f>
        <v>0</v>
      </c>
      <c r="L30" s="13">
        <v>1</v>
      </c>
      <c r="M30" s="15">
        <f t="shared" si="3"/>
        <v>1</v>
      </c>
      <c r="N30" s="13"/>
      <c r="O30" s="4">
        <f t="shared" si="4"/>
        <v>0</v>
      </c>
      <c r="P30" s="4">
        <f t="shared" si="5"/>
        <v>0</v>
      </c>
      <c r="Q30" s="4">
        <f t="shared" si="6"/>
        <v>0</v>
      </c>
      <c r="R30" s="4">
        <f t="shared" si="7"/>
        <v>0</v>
      </c>
      <c r="S30" s="4">
        <f>D30*Furnace_Coeff!$H$2+E30*Furnace_Coeff!$H$3+F30*Furnace_Coeff!$H$4</f>
        <v>0</v>
      </c>
      <c r="T30" s="4">
        <f>D30*Furnace_Coeff!$I$2+E30*Furnace_Coeff!$I$3+F30*Furnace_Coeff!$I$4</f>
        <v>0</v>
      </c>
      <c r="U30" s="4">
        <f>D30*Furnace_Coeff!$J$2+E30*Furnace_Coeff!$J$3+F30*Furnace_Coeff!$J$4</f>
        <v>0</v>
      </c>
      <c r="V30" s="4">
        <f>D30*Furnace_Coeff!$K$2+E30*Furnace_Coeff!$K$3+F30*Furnace_Coeff!$K$4</f>
        <v>0</v>
      </c>
      <c r="W30" s="14">
        <f t="shared" si="8"/>
        <v>0</v>
      </c>
      <c r="X30" s="13"/>
      <c r="Y30" s="4">
        <f t="shared" si="9"/>
        <v>0</v>
      </c>
      <c r="Z30" s="4">
        <f t="shared" si="10"/>
        <v>0</v>
      </c>
      <c r="AA30" s="4">
        <f t="shared" si="11"/>
        <v>0</v>
      </c>
      <c r="AB30" s="4">
        <f>$D$11*Furnace_Coeff!$L$2+$E$11*Furnace_Coeff!$L$3+$F$11*Furnace_Coeff!$L$4</f>
        <v>2.1</v>
      </c>
      <c r="AC30" s="4">
        <f>$D$11*Furnace_Coeff!$M$2+$E$11*Furnace_Coeff!$M$3+$F$11*Furnace_Coeff!$M$4</f>
        <v>2.5</v>
      </c>
      <c r="AD30" s="4">
        <f>$D$11*Furnace_Coeff!$N$2+$E$11*Furnace_Coeff!$N$3+$F$11*Furnace_Coeff!$N$4</f>
        <v>2.7</v>
      </c>
      <c r="AE30" s="14">
        <f t="shared" si="12"/>
        <v>0</v>
      </c>
      <c r="AF30" s="15">
        <f t="shared" si="13"/>
        <v>0</v>
      </c>
    </row>
    <row r="31" spans="1:32" ht="14.25" thickBot="1" x14ac:dyDescent="0.2">
      <c r="AF31" s="25">
        <f>SUM(AF12:AF30)</f>
        <v>0</v>
      </c>
    </row>
  </sheetData>
  <phoneticPr fontId="1"/>
  <dataValidations disablePrompts="1" count="3">
    <dataValidation type="list" allowBlank="1" showInputMessage="1" showErrorMessage="1" sqref="C11:C30">
      <formula1>$C$1:$C$3</formula1>
    </dataValidation>
    <dataValidation type="list" allowBlank="1" showInputMessage="1" showErrorMessage="1" sqref="N11:N30">
      <formula1>$N$1:$N$4</formula1>
    </dataValidation>
    <dataValidation type="list" allowBlank="1" showInputMessage="1" showErrorMessage="1" sqref="X11:X30">
      <formula1>$X$1:$X$3</formula1>
    </dataValidation>
  </dataValidations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Q18" sqref="Q18:Q19"/>
    </sheetView>
  </sheetViews>
  <sheetFormatPr defaultRowHeight="13.5" x14ac:dyDescent="0.15"/>
  <cols>
    <col min="16" max="16" width="11.125" customWidth="1"/>
  </cols>
  <sheetData>
    <row r="1" spans="1:16" x14ac:dyDescent="0.15">
      <c r="B1" s="38" t="s">
        <v>50</v>
      </c>
      <c r="C1" s="38"/>
      <c r="D1" s="38"/>
      <c r="E1" s="38"/>
      <c r="F1" s="38"/>
      <c r="G1" s="38"/>
      <c r="H1" s="38"/>
      <c r="I1" s="38" t="s">
        <v>59</v>
      </c>
      <c r="J1" s="38"/>
      <c r="K1" s="38"/>
      <c r="L1" s="38"/>
      <c r="M1" s="38"/>
      <c r="N1" s="38"/>
      <c r="O1" s="38"/>
      <c r="P1" t="s">
        <v>60</v>
      </c>
    </row>
    <row r="2" spans="1:16" x14ac:dyDescent="0.15">
      <c r="A2" t="s">
        <v>58</v>
      </c>
      <c r="B2" t="s">
        <v>51</v>
      </c>
      <c r="C2" t="s">
        <v>52</v>
      </c>
      <c r="D2" t="s">
        <v>53</v>
      </c>
      <c r="E2" t="s">
        <v>57</v>
      </c>
      <c r="F2" t="s">
        <v>56</v>
      </c>
      <c r="G2" t="s">
        <v>62</v>
      </c>
      <c r="H2" t="s">
        <v>63</v>
      </c>
      <c r="I2" t="s">
        <v>51</v>
      </c>
      <c r="J2" t="s">
        <v>52</v>
      </c>
      <c r="K2" t="s">
        <v>53</v>
      </c>
      <c r="L2" t="s">
        <v>54</v>
      </c>
      <c r="M2" t="s">
        <v>55</v>
      </c>
      <c r="N2" t="s">
        <v>62</v>
      </c>
      <c r="O2" t="s">
        <v>63</v>
      </c>
      <c r="P2" t="s">
        <v>61</v>
      </c>
    </row>
    <row r="3" spans="1:16" x14ac:dyDescent="0.15">
      <c r="A3">
        <v>0.3</v>
      </c>
      <c r="B3">
        <v>3.3391999999999999</v>
      </c>
      <c r="C3">
        <v>0.55379999999999996</v>
      </c>
      <c r="D3">
        <v>0.28510000000000002</v>
      </c>
      <c r="E3">
        <v>1.2</v>
      </c>
      <c r="F3">
        <v>16</v>
      </c>
      <c r="G3" s="37">
        <v>2.5</v>
      </c>
      <c r="H3" s="37">
        <v>1.72</v>
      </c>
      <c r="I3">
        <v>2.9201999999999999</v>
      </c>
      <c r="J3">
        <v>0.50560000000000005</v>
      </c>
      <c r="K3">
        <v>0.12609999999999999</v>
      </c>
      <c r="L3">
        <v>1</v>
      </c>
      <c r="M3">
        <v>20</v>
      </c>
      <c r="N3" s="37">
        <v>1.62</v>
      </c>
      <c r="O3" s="37">
        <v>1.47</v>
      </c>
      <c r="P3">
        <v>400</v>
      </c>
    </row>
    <row r="4" spans="1:16" x14ac:dyDescent="0.15">
      <c r="A4">
        <v>0.5</v>
      </c>
      <c r="B4">
        <v>3.4746000000000001</v>
      </c>
      <c r="C4">
        <v>0.58930000000000005</v>
      </c>
      <c r="D4">
        <v>0.20530000000000001</v>
      </c>
      <c r="E4">
        <v>1.5</v>
      </c>
      <c r="F4">
        <v>20</v>
      </c>
      <c r="G4" s="37"/>
      <c r="H4" s="37"/>
      <c r="I4">
        <v>3.1032000000000002</v>
      </c>
      <c r="J4">
        <v>0.57820000000000005</v>
      </c>
      <c r="K4">
        <v>6.3200000000000006E-2</v>
      </c>
      <c r="L4">
        <v>1.5</v>
      </c>
      <c r="M4">
        <v>25</v>
      </c>
      <c r="N4" s="37"/>
      <c r="O4" s="37"/>
      <c r="P4">
        <v>400</v>
      </c>
    </row>
    <row r="5" spans="1:16" x14ac:dyDescent="0.15">
      <c r="A5">
        <v>1</v>
      </c>
      <c r="B5">
        <v>3.6236999999999999</v>
      </c>
      <c r="C5">
        <v>0.5262</v>
      </c>
      <c r="D5">
        <v>0.21460000000000001</v>
      </c>
      <c r="E5">
        <v>2.5</v>
      </c>
      <c r="F5">
        <v>30</v>
      </c>
      <c r="G5" s="37"/>
      <c r="H5" s="37"/>
      <c r="I5">
        <v>3.3592</v>
      </c>
      <c r="J5">
        <v>0.59050000000000002</v>
      </c>
      <c r="K5">
        <v>0.1106</v>
      </c>
      <c r="L5">
        <v>2.2000000000000002</v>
      </c>
      <c r="M5">
        <v>30</v>
      </c>
      <c r="N5" s="37"/>
      <c r="O5" s="37"/>
      <c r="P5">
        <v>400</v>
      </c>
    </row>
    <row r="6" spans="1:16" x14ac:dyDescent="0.15">
      <c r="A6">
        <v>1.5</v>
      </c>
      <c r="B6">
        <v>3.7559</v>
      </c>
      <c r="C6">
        <v>0.6361</v>
      </c>
      <c r="D6">
        <v>0.1069</v>
      </c>
      <c r="E6">
        <v>3</v>
      </c>
      <c r="F6">
        <v>41</v>
      </c>
      <c r="G6" s="37"/>
      <c r="H6" s="37"/>
      <c r="I6">
        <v>3.4203999999999999</v>
      </c>
      <c r="J6">
        <v>0.81410000000000005</v>
      </c>
      <c r="K6">
        <v>-4.5999999999999999E-3</v>
      </c>
      <c r="L6">
        <v>3.5</v>
      </c>
      <c r="M6">
        <v>36</v>
      </c>
      <c r="N6" s="37"/>
      <c r="O6" s="37"/>
      <c r="P6">
        <v>400</v>
      </c>
    </row>
    <row r="7" spans="1:16" x14ac:dyDescent="0.15">
      <c r="A7">
        <v>2</v>
      </c>
      <c r="B7">
        <v>3.9483999999999999</v>
      </c>
      <c r="C7">
        <v>0.46229999999999999</v>
      </c>
      <c r="D7">
        <v>0.17169999999999999</v>
      </c>
      <c r="E7">
        <v>4</v>
      </c>
      <c r="F7">
        <v>45</v>
      </c>
      <c r="G7" s="37"/>
      <c r="H7" s="37"/>
      <c r="I7">
        <v>3.7599</v>
      </c>
      <c r="J7">
        <v>0.36830000000000002</v>
      </c>
      <c r="K7">
        <v>0.19539999999999999</v>
      </c>
      <c r="L7">
        <v>4.5</v>
      </c>
      <c r="M7">
        <v>40</v>
      </c>
      <c r="N7" s="37"/>
      <c r="O7" s="37"/>
      <c r="P7">
        <v>400</v>
      </c>
    </row>
    <row r="8" spans="1:16" x14ac:dyDescent="0.15">
      <c r="A8">
        <v>2.5</v>
      </c>
      <c r="B8">
        <v>4.0547000000000004</v>
      </c>
      <c r="C8">
        <v>0.46200000000000002</v>
      </c>
      <c r="D8">
        <v>0.15579999999999999</v>
      </c>
      <c r="E8">
        <v>5</v>
      </c>
      <c r="F8">
        <v>50</v>
      </c>
      <c r="G8" s="37"/>
      <c r="H8" s="37"/>
      <c r="I8">
        <v>3.6779999999999999</v>
      </c>
      <c r="J8">
        <v>0.71199999999999997</v>
      </c>
      <c r="K8">
        <v>4.2999999999999997E-2</v>
      </c>
      <c r="L8">
        <v>5.5</v>
      </c>
      <c r="M8">
        <v>42</v>
      </c>
      <c r="N8" s="37"/>
      <c r="O8" s="37"/>
      <c r="P8">
        <v>400</v>
      </c>
    </row>
    <row r="9" spans="1:16" x14ac:dyDescent="0.15">
      <c r="A9">
        <v>3</v>
      </c>
      <c r="B9">
        <v>4.1109999999999998</v>
      </c>
      <c r="C9">
        <v>0.60940000000000005</v>
      </c>
      <c r="D9">
        <v>4.9000000000000002E-2</v>
      </c>
      <c r="E9">
        <v>6</v>
      </c>
      <c r="F9">
        <v>50</v>
      </c>
      <c r="G9" s="37"/>
      <c r="H9" s="37"/>
      <c r="I9">
        <v>3.7717999999999998</v>
      </c>
      <c r="J9">
        <v>0.71589999999999998</v>
      </c>
      <c r="K9">
        <v>4.7E-2</v>
      </c>
      <c r="L9">
        <v>6.5</v>
      </c>
      <c r="M9">
        <v>50</v>
      </c>
      <c r="N9" s="37"/>
      <c r="O9" s="37"/>
      <c r="P9">
        <v>400</v>
      </c>
    </row>
    <row r="10" spans="1:16" x14ac:dyDescent="0.15">
      <c r="A10">
        <v>4</v>
      </c>
      <c r="B10">
        <v>4.3918999999999997</v>
      </c>
      <c r="C10">
        <v>0.28589999999999999</v>
      </c>
      <c r="D10">
        <v>0.1842</v>
      </c>
      <c r="E10">
        <v>7</v>
      </c>
      <c r="F10">
        <v>50</v>
      </c>
      <c r="G10" s="37"/>
      <c r="H10" s="37"/>
      <c r="I10">
        <v>4.1551</v>
      </c>
      <c r="J10">
        <v>0.2238</v>
      </c>
      <c r="K10">
        <v>0.24990000000000001</v>
      </c>
      <c r="L10">
        <v>8</v>
      </c>
      <c r="M10">
        <v>52</v>
      </c>
      <c r="N10" s="37"/>
      <c r="O10" s="37"/>
      <c r="P10">
        <v>400</v>
      </c>
    </row>
  </sheetData>
  <mergeCells count="6">
    <mergeCell ref="B1:H1"/>
    <mergeCell ref="I1:O1"/>
    <mergeCell ref="G3:G10"/>
    <mergeCell ref="H3:H10"/>
    <mergeCell ref="N3:N10"/>
    <mergeCell ref="O3:O10"/>
  </mergeCells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Plant_Construction _Cost</vt:lpstr>
      <vt:lpstr>ProcessVessel</vt:lpstr>
      <vt:lpstr>Sieve_Trays</vt:lpstr>
      <vt:lpstr>HeatExchanger</vt:lpstr>
      <vt:lpstr>Pump+EL_DRV</vt:lpstr>
      <vt:lpstr>Compressor</vt:lpstr>
      <vt:lpstr>Driver_for_Compressor</vt:lpstr>
      <vt:lpstr>Furnace</vt:lpstr>
      <vt:lpstr>PV_Coeff</vt:lpstr>
      <vt:lpstr>HE_Coeff</vt:lpstr>
      <vt:lpstr>HE_FM</vt:lpstr>
      <vt:lpstr>Pump_Coeff</vt:lpstr>
      <vt:lpstr>Pump_FM</vt:lpstr>
      <vt:lpstr>Comp_Coeff</vt:lpstr>
      <vt:lpstr>DRV_Coeff</vt:lpstr>
      <vt:lpstr>Furnace_Coeff</vt:lpstr>
    </vt:vector>
  </TitlesOfParts>
  <Company>化学工学専攻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fuchino</dc:creator>
  <cp:lastModifiedBy>fuchino</cp:lastModifiedBy>
  <dcterms:created xsi:type="dcterms:W3CDTF">2009-04-15T04:06:04Z</dcterms:created>
  <dcterms:modified xsi:type="dcterms:W3CDTF">2016-03-26T07:28:09Z</dcterms:modified>
</cp:coreProperties>
</file>