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4030"/>
  <workbookPr autoCompressPictures="0"/>
  <bookViews>
    <workbookView xWindow="120" yWindow="100" windowWidth="22460" windowHeight="11280" activeTab="2"/>
  </bookViews>
  <sheets>
    <sheet name="Steam Balance" sheetId="1" r:id="rId1"/>
    <sheet name="Problem Table" sheetId="2" r:id="rId2"/>
    <sheet name="Energy Consumption" sheetId="3" r:id="rId3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58" i="1" l="1"/>
  <c r="H46" i="1"/>
  <c r="J46" i="1"/>
  <c r="H47" i="1"/>
  <c r="J47" i="1"/>
  <c r="J49" i="1"/>
  <c r="I22" i="1"/>
  <c r="J22" i="1"/>
  <c r="J52" i="1"/>
  <c r="J53" i="1"/>
  <c r="I20" i="1"/>
  <c r="J20" i="1"/>
  <c r="J32" i="1"/>
  <c r="I21" i="1"/>
  <c r="J21" i="1"/>
  <c r="J33" i="1"/>
  <c r="G6" i="2"/>
  <c r="C2" i="3"/>
  <c r="C10" i="3"/>
  <c r="C19" i="3"/>
  <c r="O19" i="3"/>
  <c r="L19" i="3"/>
  <c r="I19" i="3"/>
  <c r="P18" i="3"/>
  <c r="Q18" i="3"/>
  <c r="M18" i="3"/>
  <c r="N18" i="3"/>
  <c r="J18" i="3"/>
  <c r="K18" i="3"/>
  <c r="G18" i="3"/>
  <c r="H18" i="3"/>
  <c r="D18" i="3"/>
  <c r="E18" i="3"/>
  <c r="P17" i="3"/>
  <c r="Q17" i="3"/>
  <c r="M17" i="3"/>
  <c r="N17" i="3"/>
  <c r="J17" i="3"/>
  <c r="K17" i="3"/>
  <c r="G17" i="3"/>
  <c r="H17" i="3"/>
  <c r="D17" i="3"/>
  <c r="E17" i="3"/>
  <c r="P16" i="3"/>
  <c r="Q16" i="3"/>
  <c r="M16" i="3"/>
  <c r="N16" i="3"/>
  <c r="J16" i="3"/>
  <c r="K16" i="3"/>
  <c r="G16" i="3"/>
  <c r="H16" i="3"/>
  <c r="D16" i="3"/>
  <c r="E16" i="3"/>
  <c r="P15" i="3"/>
  <c r="Q15" i="3"/>
  <c r="M15" i="3"/>
  <c r="N15" i="3"/>
  <c r="J15" i="3"/>
  <c r="K15" i="3"/>
  <c r="G15" i="3"/>
  <c r="H15" i="3"/>
  <c r="D15" i="3"/>
  <c r="E15" i="3"/>
  <c r="P14" i="3"/>
  <c r="Q14" i="3"/>
  <c r="M14" i="3"/>
  <c r="N14" i="3"/>
  <c r="J14" i="3"/>
  <c r="K14" i="3"/>
  <c r="G14" i="3"/>
  <c r="H14" i="3"/>
  <c r="D14" i="3"/>
  <c r="E14" i="3"/>
  <c r="P13" i="3"/>
  <c r="Q13" i="3"/>
  <c r="M13" i="3"/>
  <c r="N13" i="3"/>
  <c r="J13" i="3"/>
  <c r="K13" i="3"/>
  <c r="G13" i="3"/>
  <c r="H13" i="3"/>
  <c r="D13" i="3"/>
  <c r="E13" i="3"/>
  <c r="P12" i="3"/>
  <c r="Q12" i="3"/>
  <c r="M12" i="3"/>
  <c r="N12" i="3"/>
  <c r="J12" i="3"/>
  <c r="K12" i="3"/>
  <c r="G12" i="3"/>
  <c r="H12" i="3"/>
  <c r="D12" i="3"/>
  <c r="E12" i="3"/>
  <c r="P11" i="3"/>
  <c r="M11" i="3"/>
  <c r="N11" i="3"/>
  <c r="J11" i="3"/>
  <c r="K11" i="3"/>
  <c r="G11" i="3"/>
  <c r="H11" i="3"/>
  <c r="D11" i="3"/>
  <c r="E11" i="3"/>
  <c r="P10" i="3"/>
  <c r="Q10" i="3"/>
  <c r="M10" i="3"/>
  <c r="N10" i="3"/>
  <c r="J10" i="3"/>
  <c r="K10" i="3"/>
  <c r="D10" i="3"/>
  <c r="E10" i="3"/>
  <c r="P19" i="3"/>
  <c r="Q11" i="3"/>
  <c r="Q19" i="3"/>
  <c r="B31" i="3"/>
  <c r="M19" i="3"/>
  <c r="D19" i="3"/>
  <c r="K19" i="3"/>
  <c r="B29" i="3"/>
  <c r="N19" i="3"/>
  <c r="B30" i="3"/>
  <c r="E19" i="3"/>
  <c r="B23" i="3"/>
  <c r="J19" i="3"/>
  <c r="C113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H46" i="2"/>
  <c r="G46" i="2"/>
  <c r="H45" i="2"/>
  <c r="G45" i="2"/>
  <c r="H44" i="2"/>
  <c r="G44" i="2"/>
  <c r="H43" i="2"/>
  <c r="G43" i="2"/>
  <c r="D46" i="2"/>
  <c r="E46" i="2"/>
  <c r="D45" i="2"/>
  <c r="E45" i="2"/>
  <c r="R67" i="2"/>
  <c r="D44" i="2"/>
  <c r="E44" i="2"/>
  <c r="D22" i="2"/>
  <c r="D41" i="2"/>
  <c r="D21" i="2"/>
  <c r="D40" i="2"/>
  <c r="D23" i="2"/>
  <c r="D42" i="2"/>
  <c r="D20" i="2"/>
  <c r="D39" i="2"/>
  <c r="D19" i="2"/>
  <c r="D38" i="2"/>
  <c r="Q70" i="2"/>
  <c r="Q69" i="2"/>
  <c r="Q68" i="2"/>
  <c r="Q71" i="2"/>
  <c r="S64" i="2"/>
  <c r="S63" i="2"/>
  <c r="S62" i="2"/>
  <c r="S61" i="2"/>
  <c r="S60" i="2"/>
  <c r="S59" i="2"/>
  <c r="S58" i="2"/>
  <c r="S65" i="2"/>
  <c r="S66" i="2"/>
  <c r="D17" i="2"/>
  <c r="D16" i="2"/>
  <c r="D35" i="2"/>
  <c r="E35" i="2"/>
  <c r="D15" i="2"/>
  <c r="D34" i="2"/>
  <c r="E34" i="2"/>
  <c r="D14" i="2"/>
  <c r="D33" i="2"/>
  <c r="E33" i="2"/>
  <c r="D13" i="2"/>
  <c r="D32" i="2"/>
  <c r="E32" i="2"/>
  <c r="D12" i="2"/>
  <c r="D31" i="2"/>
  <c r="E31" i="2"/>
  <c r="D11" i="2"/>
  <c r="D30" i="2"/>
  <c r="E30" i="2"/>
  <c r="V54" i="2"/>
  <c r="U55" i="2"/>
  <c r="H42" i="2"/>
  <c r="G42" i="2"/>
  <c r="E42" i="2"/>
  <c r="H41" i="2"/>
  <c r="G41" i="2"/>
  <c r="E41" i="2"/>
  <c r="N56" i="2"/>
  <c r="H40" i="2"/>
  <c r="G40" i="2"/>
  <c r="E40" i="2"/>
  <c r="H39" i="2"/>
  <c r="G39" i="2"/>
  <c r="E39" i="2"/>
  <c r="H38" i="2"/>
  <c r="G38" i="2"/>
  <c r="E38" i="2"/>
  <c r="H36" i="2"/>
  <c r="G36" i="2"/>
  <c r="H35" i="2"/>
  <c r="G35" i="2"/>
  <c r="H34" i="2"/>
  <c r="G34" i="2"/>
  <c r="H33" i="2"/>
  <c r="G33" i="2"/>
  <c r="H32" i="2"/>
  <c r="G32" i="2"/>
  <c r="H31" i="2"/>
  <c r="G31" i="2"/>
  <c r="H30" i="2"/>
  <c r="G30" i="2"/>
  <c r="M57" i="2"/>
  <c r="M58" i="2"/>
  <c r="K68" i="2"/>
  <c r="K67" i="2"/>
  <c r="K66" i="2"/>
  <c r="K65" i="2"/>
  <c r="K64" i="2"/>
  <c r="K69" i="2"/>
  <c r="D55" i="2"/>
  <c r="T55" i="2"/>
  <c r="V55" i="2"/>
  <c r="U56" i="2"/>
  <c r="D60" i="2"/>
  <c r="D59" i="2"/>
  <c r="D58" i="2"/>
  <c r="D57" i="2"/>
  <c r="D56" i="2"/>
  <c r="T56" i="2"/>
  <c r="E62" i="2"/>
  <c r="E61" i="2"/>
  <c r="E63" i="2"/>
  <c r="E64" i="2"/>
  <c r="F65" i="2"/>
  <c r="F64" i="2"/>
  <c r="F66" i="2"/>
  <c r="F63" i="2"/>
  <c r="F62" i="2"/>
  <c r="F61" i="2"/>
  <c r="F60" i="2"/>
  <c r="L62" i="2"/>
  <c r="L61" i="2"/>
  <c r="L60" i="2"/>
  <c r="L59" i="2"/>
  <c r="L63" i="2"/>
  <c r="G74" i="2"/>
  <c r="G73" i="2"/>
  <c r="I73" i="2"/>
  <c r="O67" i="2"/>
  <c r="O68" i="2"/>
  <c r="O66" i="2"/>
  <c r="O65" i="2"/>
  <c r="O64" i="2"/>
  <c r="O63" i="2"/>
  <c r="O62" i="2"/>
  <c r="H70" i="2"/>
  <c r="H69" i="2"/>
  <c r="H68" i="2"/>
  <c r="H67" i="2"/>
  <c r="H66" i="2"/>
  <c r="I72" i="2"/>
  <c r="I71" i="2"/>
  <c r="T71" i="2"/>
  <c r="D36" i="2"/>
  <c r="E36" i="2"/>
  <c r="J67" i="2"/>
  <c r="T67" i="2"/>
  <c r="J68" i="2"/>
  <c r="T68" i="2"/>
  <c r="J66" i="2"/>
  <c r="J65" i="2"/>
  <c r="J64" i="2"/>
  <c r="J63" i="2"/>
  <c r="T63" i="2"/>
  <c r="J70" i="2"/>
  <c r="T70" i="2"/>
  <c r="J69" i="2"/>
  <c r="T69" i="2"/>
  <c r="V56" i="2"/>
  <c r="U57" i="2"/>
  <c r="T61" i="2"/>
  <c r="T62" i="2"/>
  <c r="T66" i="2"/>
  <c r="T57" i="2"/>
  <c r="T58" i="2"/>
  <c r="T65" i="2"/>
  <c r="T59" i="2"/>
  <c r="T64" i="2"/>
  <c r="T60" i="2"/>
  <c r="V57" i="2"/>
  <c r="U58" i="2"/>
  <c r="M39" i="1"/>
  <c r="T26" i="1"/>
  <c r="S26" i="1"/>
  <c r="V25" i="1" a="1"/>
  <c r="V58" i="2"/>
  <c r="U59" i="2"/>
  <c r="V59" i="2"/>
  <c r="U60" i="2"/>
  <c r="V60" i="2"/>
  <c r="U61" i="2"/>
  <c r="V61" i="2"/>
  <c r="U62" i="2"/>
  <c r="V62" i="2"/>
  <c r="U63" i="2"/>
  <c r="V63" i="2"/>
  <c r="U64" i="2"/>
  <c r="V64" i="2"/>
  <c r="U65" i="2"/>
  <c r="V65" i="2"/>
  <c r="U66" i="2"/>
  <c r="V66" i="2"/>
  <c r="U67" i="2"/>
  <c r="V67" i="2"/>
  <c r="U68" i="2"/>
  <c r="V68" i="2"/>
  <c r="U69" i="2"/>
  <c r="V69" i="2"/>
  <c r="U70" i="2"/>
  <c r="V70" i="2"/>
  <c r="U71" i="2"/>
  <c r="V71" i="2"/>
  <c r="U72" i="2"/>
  <c r="J24" i="1"/>
  <c r="Q26" i="1"/>
  <c r="Q25" i="1"/>
  <c r="V25" i="1"/>
  <c r="V26" i="1"/>
  <c r="W26" i="1"/>
  <c r="W25" i="1"/>
  <c r="J23" i="1"/>
  <c r="J39" i="1"/>
  <c r="J25" i="1" a="1"/>
  <c r="J25" i="1"/>
  <c r="G73" i="1"/>
  <c r="D43" i="2"/>
  <c r="E43" i="2"/>
  <c r="P72" i="2"/>
  <c r="T72" i="2"/>
  <c r="V72" i="2"/>
  <c r="U73" i="2"/>
  <c r="P73" i="2"/>
  <c r="T73" i="2"/>
  <c r="V73" i="2"/>
  <c r="U74" i="2"/>
  <c r="P74" i="2"/>
  <c r="T74" i="2"/>
  <c r="V74" i="2"/>
  <c r="U75" i="2"/>
  <c r="P75" i="2"/>
  <c r="T75" i="2"/>
  <c r="V75" i="2"/>
  <c r="U76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A99" i="2"/>
  <c r="X75" i="2"/>
  <c r="W76" i="2"/>
  <c r="A100" i="2"/>
  <c r="A98" i="2"/>
  <c r="A97" i="2"/>
  <c r="A103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79" i="2"/>
  <c r="A102" i="2"/>
  <c r="C120" i="2"/>
  <c r="C122" i="2"/>
  <c r="C3" i="3"/>
  <c r="F10" i="3"/>
  <c r="G10" i="3"/>
  <c r="H10" i="3"/>
  <c r="H19" i="3"/>
  <c r="B24" i="3"/>
  <c r="J26" i="1"/>
  <c r="J34" i="1"/>
  <c r="J40" i="1"/>
  <c r="J41" i="1"/>
  <c r="J54" i="1"/>
  <c r="J55" i="1"/>
  <c r="J59" i="1"/>
  <c r="J64" i="1"/>
  <c r="J65" i="1"/>
  <c r="J70" i="1"/>
  <c r="C4" i="3"/>
  <c r="E4" i="3"/>
  <c r="G4" i="3"/>
  <c r="I4" i="3"/>
  <c r="B27" i="3"/>
  <c r="C5" i="3"/>
  <c r="E5" i="3"/>
  <c r="G5" i="3"/>
  <c r="I5" i="3"/>
  <c r="B28" i="3"/>
  <c r="B33" i="3"/>
  <c r="B35" i="3"/>
  <c r="J66" i="1"/>
  <c r="A81" i="2"/>
  <c r="G19" i="3"/>
  <c r="A80" i="2"/>
  <c r="F19" i="3"/>
  <c r="J42" i="1"/>
</calcChain>
</file>

<file path=xl/sharedStrings.xml><?xml version="1.0" encoding="utf-8"?>
<sst xmlns="http://schemas.openxmlformats.org/spreadsheetml/2006/main" count="310" uniqueCount="187">
  <si>
    <t>Boiler Charge Pump Discharge</t>
    <phoneticPr fontId="1"/>
  </si>
  <si>
    <t>(1) Deaerator　Balance</t>
    <phoneticPr fontId="1"/>
  </si>
  <si>
    <t>Output</t>
    <phoneticPr fontId="1"/>
  </si>
  <si>
    <t>(a)</t>
    <phoneticPr fontId="1"/>
  </si>
  <si>
    <t>(t/h)</t>
    <phoneticPr fontId="1"/>
  </si>
  <si>
    <t>High Pressure Liquid to Boiler</t>
    <phoneticPr fontId="1"/>
  </si>
  <si>
    <t>Middle Pressure Liquid for Quench</t>
    <phoneticPr fontId="1"/>
  </si>
  <si>
    <t>(t/h)</t>
    <phoneticPr fontId="1"/>
  </si>
  <si>
    <t>Deaerated Steam</t>
    <phoneticPr fontId="1"/>
  </si>
  <si>
    <t>(b)</t>
    <phoneticPr fontId="1"/>
  </si>
  <si>
    <t>Input</t>
    <phoneticPr fontId="1"/>
  </si>
  <si>
    <t>Low Temperature Heater</t>
    <phoneticPr fontId="1"/>
  </si>
  <si>
    <t>Process Condensate Stripper</t>
    <phoneticPr fontId="1"/>
  </si>
  <si>
    <t>Heat Duty</t>
    <phoneticPr fontId="1"/>
  </si>
  <si>
    <t>MMkJ/h</t>
    <phoneticPr fontId="1"/>
  </si>
  <si>
    <t>Low Temp Heater</t>
    <phoneticPr fontId="1"/>
  </si>
  <si>
    <t>MMkJ/h</t>
    <phoneticPr fontId="1"/>
  </si>
  <si>
    <t>Δi [kJ/kg]</t>
    <phoneticPr fontId="1"/>
  </si>
  <si>
    <t>(t/h)</t>
  </si>
  <si>
    <t>(t/h)</t>
    <phoneticPr fontId="1"/>
  </si>
  <si>
    <t>High Temperature Heater</t>
    <phoneticPr fontId="1"/>
  </si>
  <si>
    <t>MMkJ/h</t>
    <phoneticPr fontId="1"/>
  </si>
  <si>
    <t>42bar Sat Liquid</t>
    <phoneticPr fontId="1"/>
  </si>
  <si>
    <t>4.5bar sat Vapor</t>
    <phoneticPr fontId="1"/>
  </si>
  <si>
    <t>4.5bar sat Liquid</t>
    <phoneticPr fontId="1"/>
  </si>
  <si>
    <t>[kJ/kg]</t>
  </si>
  <si>
    <t>[kJ/kg]</t>
    <phoneticPr fontId="1"/>
  </si>
  <si>
    <t>Boiler Feed Water</t>
    <phoneticPr fontId="1"/>
  </si>
  <si>
    <t>Deaeration Steam</t>
    <phoneticPr fontId="1"/>
  </si>
  <si>
    <t>M1=</t>
    <phoneticPr fontId="1"/>
  </si>
  <si>
    <r>
      <t>M1</t>
    </r>
    <r>
      <rPr>
        <vertAlign val="superscript"/>
        <sz val="11"/>
        <color theme="1"/>
        <rFont val="ＭＳ Ｐゴシック"/>
        <family val="3"/>
        <charset val="128"/>
        <scheme val="minor"/>
      </rPr>
      <t>-1</t>
    </r>
    <r>
      <rPr>
        <sz val="11"/>
        <color theme="1"/>
        <rFont val="ＭＳ Ｐゴシック"/>
        <family val="2"/>
        <charset val="128"/>
        <scheme val="minor"/>
      </rPr>
      <t>=</t>
    </r>
    <phoneticPr fontId="1"/>
  </si>
  <si>
    <t>(a)</t>
    <phoneticPr fontId="1"/>
  </si>
  <si>
    <t>Output</t>
    <phoneticPr fontId="1"/>
  </si>
  <si>
    <t>(t/h)</t>
    <phoneticPr fontId="1"/>
  </si>
  <si>
    <t>(b)</t>
    <phoneticPr fontId="1"/>
  </si>
  <si>
    <t>Input</t>
    <phoneticPr fontId="1"/>
  </si>
  <si>
    <t>High Temperature Heater</t>
    <phoneticPr fontId="1"/>
  </si>
  <si>
    <t>LO/SO,IDF/FDF Turbine Outlet</t>
    <phoneticPr fontId="1"/>
  </si>
  <si>
    <t>High Pressure Letdown Steam</t>
    <phoneticPr fontId="1"/>
  </si>
  <si>
    <t>Middle Pressure Letdown 4.5 bar Header Input</t>
    <phoneticPr fontId="1"/>
  </si>
  <si>
    <t>Middle Pressure Letdown 42 bar Header Output</t>
    <phoneticPr fontId="1"/>
  </si>
  <si>
    <t xml:space="preserve">Boiler Charge Pump Discharge </t>
    <phoneticPr fontId="1"/>
  </si>
  <si>
    <t>(3) Middle Pressure Steam Header Balance</t>
    <phoneticPr fontId="1"/>
  </si>
  <si>
    <t>Air Compressor</t>
    <phoneticPr fontId="1"/>
  </si>
  <si>
    <t>kW</t>
    <phoneticPr fontId="1"/>
  </si>
  <si>
    <t>Air Flow</t>
    <phoneticPr fontId="1"/>
  </si>
  <si>
    <t>[kmol/h]</t>
    <phoneticPr fontId="1"/>
  </si>
  <si>
    <t>NG Compressor</t>
    <phoneticPr fontId="1"/>
  </si>
  <si>
    <t>NG Flow</t>
    <phoneticPr fontId="1"/>
  </si>
  <si>
    <t>Boiler Charge Pump</t>
    <phoneticPr fontId="1"/>
  </si>
  <si>
    <t>Refregiration Compressor</t>
    <phoneticPr fontId="1"/>
  </si>
  <si>
    <t>Reformering Steam</t>
    <phoneticPr fontId="1"/>
  </si>
  <si>
    <t>Air Steam</t>
    <phoneticPr fontId="1"/>
  </si>
  <si>
    <t>Letdown to 4.2 bar Steam Header</t>
    <phoneticPr fontId="1"/>
  </si>
  <si>
    <t>Input</t>
    <phoneticPr fontId="1"/>
  </si>
  <si>
    <t>Steam Flow Rate</t>
    <phoneticPr fontId="1"/>
  </si>
  <si>
    <t>Enthalpy</t>
    <phoneticPr fontId="1"/>
  </si>
  <si>
    <t>Synthesis Gas + Recycle Compressor</t>
    <phoneticPr fontId="1"/>
  </si>
  <si>
    <t>(t/h)</t>
    <phoneticPr fontId="1"/>
  </si>
  <si>
    <t>Maxmum Extructed Steam Flow Rate</t>
    <phoneticPr fontId="1"/>
  </si>
  <si>
    <t>Total</t>
    <phoneticPr fontId="1"/>
  </si>
  <si>
    <t>MP Steam Import</t>
    <phoneticPr fontId="1"/>
  </si>
  <si>
    <t>(t/h)</t>
    <phoneticPr fontId="1"/>
  </si>
  <si>
    <t>(4) High Pressure Steam Header Balance</t>
    <phoneticPr fontId="1"/>
  </si>
  <si>
    <t>Extract Steam Flow Rate</t>
    <phoneticPr fontId="1"/>
  </si>
  <si>
    <t>(a)</t>
    <phoneticPr fontId="1"/>
  </si>
  <si>
    <t>Output</t>
    <phoneticPr fontId="1"/>
  </si>
  <si>
    <t>Synthesis and Recycle Gas Compressor Turbine</t>
    <phoneticPr fontId="1"/>
  </si>
  <si>
    <t>Suction Flow Rate</t>
    <phoneticPr fontId="1"/>
  </si>
  <si>
    <t>Condensing Flow</t>
    <phoneticPr fontId="1"/>
  </si>
  <si>
    <t>(b)</t>
    <phoneticPr fontId="1"/>
  </si>
  <si>
    <t>Input</t>
    <phoneticPr fontId="1"/>
  </si>
  <si>
    <t>High Pressure Steam Header Flow Rate</t>
    <phoneticPr fontId="1"/>
  </si>
  <si>
    <t xml:space="preserve">Input </t>
    <phoneticPr fontId="1"/>
  </si>
  <si>
    <t>Calculated</t>
    <phoneticPr fontId="1"/>
  </si>
  <si>
    <t>Refered</t>
    <phoneticPr fontId="1"/>
  </si>
  <si>
    <t>Fixed</t>
    <phoneticPr fontId="1"/>
  </si>
  <si>
    <t>Inverse</t>
    <phoneticPr fontId="1"/>
  </si>
  <si>
    <t xml:space="preserve">Fixed Val. </t>
    <phoneticPr fontId="1"/>
  </si>
  <si>
    <t>LP-ECO</t>
    <phoneticPr fontId="1"/>
  </si>
  <si>
    <t>HP-ECO</t>
    <phoneticPr fontId="1"/>
  </si>
  <si>
    <t>Boiler</t>
    <phoneticPr fontId="1"/>
  </si>
  <si>
    <t>SSH</t>
    <phoneticPr fontId="1"/>
  </si>
  <si>
    <t>Steam Balance</t>
    <phoneticPr fontId="1"/>
  </si>
  <si>
    <t>Matrix</t>
    <phoneticPr fontId="1"/>
  </si>
  <si>
    <t>Item</t>
    <phoneticPr fontId="1"/>
  </si>
  <si>
    <t>Temp [℃]</t>
    <phoneticPr fontId="1"/>
  </si>
  <si>
    <t>HCFR</t>
    <phoneticPr fontId="1"/>
  </si>
  <si>
    <t>In</t>
    <phoneticPr fontId="1"/>
  </si>
  <si>
    <t>Out</t>
    <phoneticPr fontId="1"/>
  </si>
  <si>
    <t>[MMkJ/h]</t>
    <phoneticPr fontId="1"/>
  </si>
  <si>
    <t>[MMkJ/h/℃]</t>
    <phoneticPr fontId="1"/>
  </si>
  <si>
    <t>101-C</t>
    <phoneticPr fontId="1"/>
  </si>
  <si>
    <t>102-C</t>
    <phoneticPr fontId="1"/>
  </si>
  <si>
    <t>103-C</t>
    <phoneticPr fontId="1"/>
  </si>
  <si>
    <t>106-C</t>
    <phoneticPr fontId="1"/>
  </si>
  <si>
    <t>114-C</t>
    <phoneticPr fontId="1"/>
  </si>
  <si>
    <t>114-CA</t>
    <phoneticPr fontId="1"/>
  </si>
  <si>
    <t>123-C</t>
    <phoneticPr fontId="1"/>
  </si>
  <si>
    <t>103-B</t>
    <phoneticPr fontId="1"/>
  </si>
  <si>
    <t>R-PreH</t>
    <phoneticPr fontId="1"/>
  </si>
  <si>
    <t>101-B</t>
    <phoneticPr fontId="1"/>
  </si>
  <si>
    <t>Riser</t>
    <phoneticPr fontId="1"/>
  </si>
  <si>
    <t>Air H</t>
    <phoneticPr fontId="1"/>
  </si>
  <si>
    <t>HP_ECO</t>
    <phoneticPr fontId="1"/>
  </si>
  <si>
    <t>LP_ECO</t>
    <phoneticPr fontId="1"/>
  </si>
  <si>
    <t>Temperature Interval [℃]</t>
    <phoneticPr fontId="1"/>
  </si>
  <si>
    <t>Hot Stream Heat Capacity Flow Rate 
[MMkJ/h/℃]</t>
    <phoneticPr fontId="1"/>
  </si>
  <si>
    <t>Cold Stream Heat Capacity Flow Rate 
[MMkJ/h/℃]</t>
    <phoneticPr fontId="1"/>
  </si>
  <si>
    <t>Heat Balance [MMkJ/h]</t>
    <phoneticPr fontId="1"/>
  </si>
  <si>
    <t>Accumulated Deficit [MMkJ/h]</t>
    <phoneticPr fontId="1"/>
  </si>
  <si>
    <t>Accumulated Heat Flow [MMkJ/h]</t>
    <phoneticPr fontId="1"/>
  </si>
  <si>
    <t>Items</t>
    <phoneticPr fontId="1"/>
  </si>
  <si>
    <t>[kmol/h]</t>
    <phoneticPr fontId="1"/>
  </si>
  <si>
    <t>Heat Duty</t>
    <phoneticPr fontId="1"/>
  </si>
  <si>
    <t>[MMkJ/h]</t>
    <phoneticPr fontId="1"/>
  </si>
  <si>
    <t>Base Case</t>
    <phoneticPr fontId="1"/>
  </si>
  <si>
    <t>Shifted</t>
    <phoneticPr fontId="1"/>
  </si>
  <si>
    <t>Process Heat Exchangers &amp; Furnaces</t>
    <phoneticPr fontId="1"/>
  </si>
  <si>
    <t>Air Heater</t>
    <phoneticPr fontId="1"/>
  </si>
  <si>
    <t>Air Flow Rate</t>
    <phoneticPr fontId="1"/>
  </si>
  <si>
    <t>[kmol/h]</t>
    <phoneticPr fontId="1"/>
  </si>
  <si>
    <t>Shifted (Δtmin=10.0 K)</t>
    <phoneticPr fontId="1"/>
  </si>
  <si>
    <t>Furnace</t>
    <phoneticPr fontId="1"/>
  </si>
  <si>
    <t>Grand Composite Curve</t>
    <phoneticPr fontId="1"/>
  </si>
  <si>
    <t>Heat Load</t>
    <phoneticPr fontId="1"/>
  </si>
  <si>
    <t>Boiler</t>
    <phoneticPr fontId="1"/>
  </si>
  <si>
    <t>SSH</t>
    <phoneticPr fontId="1"/>
  </si>
  <si>
    <t>HP ECO</t>
    <phoneticPr fontId="1"/>
  </si>
  <si>
    <t>LP ECO</t>
    <phoneticPr fontId="1"/>
  </si>
  <si>
    <t>MMkJ/h</t>
    <phoneticPr fontId="1"/>
  </si>
  <si>
    <t>Total</t>
  </si>
  <si>
    <t>Total</t>
    <phoneticPr fontId="1"/>
  </si>
  <si>
    <t>42 bar Package Boiler Case</t>
    <phoneticPr fontId="1"/>
  </si>
  <si>
    <t>Fuel NG Flow Rate</t>
    <phoneticPr fontId="1"/>
  </si>
  <si>
    <t>kmol/h</t>
  </si>
  <si>
    <t>kmol/h</t>
    <phoneticPr fontId="1"/>
  </si>
  <si>
    <t>2000 t/h NH3 Grand  Composite Curve Case</t>
    <phoneticPr fontId="1"/>
  </si>
  <si>
    <t>MMkJ/h</t>
    <phoneticPr fontId="1"/>
  </si>
  <si>
    <t>Flow Number</t>
  </si>
  <si>
    <t>Flow Description</t>
  </si>
  <si>
    <t>Feed NG</t>
  </si>
  <si>
    <t>Compornent</t>
  </si>
  <si>
    <t>[kmol/h]</t>
  </si>
  <si>
    <t>Methane</t>
  </si>
  <si>
    <t>Hydrogen</t>
  </si>
  <si>
    <t>CO</t>
  </si>
  <si>
    <t>CO2</t>
  </si>
  <si>
    <t>Nitrogen</t>
  </si>
  <si>
    <t>Argon</t>
  </si>
  <si>
    <t>Ammonia</t>
  </si>
  <si>
    <t>Oxygen</t>
  </si>
  <si>
    <t>H2O</t>
  </si>
  <si>
    <t>(2)Fuel</t>
    <phoneticPr fontId="1"/>
  </si>
  <si>
    <t>Net [MMkcal/h]</t>
    <phoneticPr fontId="1"/>
  </si>
  <si>
    <t>Production Rate[t/h]</t>
    <phoneticPr fontId="1"/>
  </si>
  <si>
    <t>原単位（Energy Consumption）[MMkcal/t-NH3]</t>
    <rPh sb="0" eb="3">
      <t>ゲンタンイ</t>
    </rPh>
    <phoneticPr fontId="1"/>
  </si>
  <si>
    <t>Feed Methan</t>
    <phoneticPr fontId="1"/>
  </si>
  <si>
    <t>Fuel Methan</t>
    <phoneticPr fontId="1"/>
  </si>
  <si>
    <t>Fuel NG</t>
    <phoneticPr fontId="1"/>
  </si>
  <si>
    <t>Heating Value (GAS)kcal/Nm3</t>
    <phoneticPr fontId="1"/>
  </si>
  <si>
    <t>[Nm3/h]</t>
    <phoneticPr fontId="1"/>
  </si>
  <si>
    <t>Heating Value [MMkcal/h]</t>
    <phoneticPr fontId="1"/>
  </si>
  <si>
    <t>(1)Feed</t>
    <phoneticPr fontId="1"/>
  </si>
  <si>
    <t>Credit[MMkcal/h]</t>
    <phoneticPr fontId="1"/>
  </si>
  <si>
    <t>HP Steam Inport</t>
    <phoneticPr fontId="1"/>
  </si>
  <si>
    <t>MP Steam Inport</t>
    <phoneticPr fontId="1"/>
  </si>
  <si>
    <t>kmol/h</t>
    <phoneticPr fontId="1"/>
  </si>
  <si>
    <t>t/h</t>
    <phoneticPr fontId="1"/>
  </si>
  <si>
    <t>t/h</t>
    <phoneticPr fontId="1"/>
  </si>
  <si>
    <t>NM3/h</t>
    <phoneticPr fontId="1"/>
  </si>
  <si>
    <t>MMkJ/h</t>
    <phoneticPr fontId="1"/>
  </si>
  <si>
    <t>MMkJ/h</t>
    <phoneticPr fontId="1"/>
  </si>
  <si>
    <t>(3)HP Inport</t>
    <phoneticPr fontId="1"/>
  </si>
  <si>
    <t>(4)MP Inport</t>
    <phoneticPr fontId="1"/>
  </si>
  <si>
    <t>Purge to Fuel-1</t>
    <phoneticPr fontId="1"/>
  </si>
  <si>
    <t>Purge to Fuel-2</t>
    <phoneticPr fontId="1"/>
  </si>
  <si>
    <t>Purge to Fuel-3</t>
    <phoneticPr fontId="1"/>
  </si>
  <si>
    <t>(5)Purge-1</t>
    <phoneticPr fontId="1"/>
  </si>
  <si>
    <t>(6)Purge-2</t>
    <phoneticPr fontId="1"/>
  </si>
  <si>
    <t>(7)Purge-3</t>
    <phoneticPr fontId="1"/>
  </si>
  <si>
    <t>(2) Low Pressure Steam Header Balance</t>
    <phoneticPr fontId="1"/>
  </si>
  <si>
    <t>High Pressure Steam Import/Export</t>
    <phoneticPr fontId="1"/>
  </si>
  <si>
    <t>(5) Required Heat for Steam System</t>
    <phoneticPr fontId="1"/>
  </si>
  <si>
    <t>NH3 Convertor Outlet Flow Rate</t>
    <phoneticPr fontId="1"/>
  </si>
  <si>
    <t>1st Reformer Inlet Methane Flow Rate Flow Rate</t>
    <phoneticPr fontId="1"/>
  </si>
  <si>
    <t>Heating Value[MMkcal/h]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</si>
</sst>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76" formatCode="0.0_);[Red]\(0.0\)"/>
    <numFmt numFmtId="177" formatCode="0.00_);[Red]\(0.00\)"/>
    <numFmt numFmtId="178" formatCode="0.000_ "/>
    <numFmt numFmtId="179" formatCode="0.000_);[Red]\(0.000\)"/>
    <numFmt numFmtId="180" formatCode="0.00_ "/>
    <numFmt numFmtId="181" formatCode="0_ "/>
    <numFmt numFmtId="182" formatCode="0.0_ "/>
    <numFmt numFmtId="183" formatCode="0.00000_ "/>
    <numFmt numFmtId="184" formatCode="0.0000_ "/>
    <numFmt numFmtId="185" formatCode="0.000000_ "/>
  </numFmts>
  <fonts count="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vertAlign val="superscript"/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11"/>
      <color theme="0"/>
      <name val="ＭＳ Ｐゴシック"/>
      <family val="3"/>
      <charset val="12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117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right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horizontal="right" vertical="center"/>
    </xf>
    <xf numFmtId="180" fontId="0" fillId="0" borderId="0" xfId="0" applyNumberFormat="1">
      <alignment vertical="center"/>
    </xf>
    <xf numFmtId="49" fontId="2" fillId="0" borderId="0" xfId="0" applyNumberFormat="1" applyFont="1" applyAlignment="1">
      <alignment horizontal="right" vertical="center"/>
    </xf>
    <xf numFmtId="0" fontId="0" fillId="0" borderId="2" xfId="0" applyBorder="1">
      <alignment vertical="center"/>
    </xf>
    <xf numFmtId="182" fontId="0" fillId="0" borderId="0" xfId="0" applyNumberFormat="1">
      <alignment vertical="center"/>
    </xf>
    <xf numFmtId="182" fontId="0" fillId="0" borderId="2" xfId="0" applyNumberFormat="1" applyBorder="1">
      <alignment vertical="center"/>
    </xf>
    <xf numFmtId="0" fontId="0" fillId="2" borderId="0" xfId="0" applyFill="1">
      <alignment vertical="center"/>
    </xf>
    <xf numFmtId="182" fontId="0" fillId="2" borderId="1" xfId="0" applyNumberFormat="1" applyFill="1" applyBorder="1">
      <alignment vertical="center"/>
    </xf>
    <xf numFmtId="182" fontId="0" fillId="5" borderId="1" xfId="0" applyNumberFormat="1" applyFill="1" applyBorder="1">
      <alignment vertical="center"/>
    </xf>
    <xf numFmtId="177" fontId="0" fillId="0" borderId="1" xfId="0" applyNumberFormat="1" applyBorder="1">
      <alignment vertical="center"/>
    </xf>
    <xf numFmtId="177" fontId="0" fillId="5" borderId="1" xfId="0" applyNumberFormat="1" applyFill="1" applyBorder="1">
      <alignment vertical="center"/>
    </xf>
    <xf numFmtId="182" fontId="0" fillId="3" borderId="1" xfId="0" applyNumberFormat="1" applyFill="1" applyBorder="1">
      <alignment vertical="center"/>
    </xf>
    <xf numFmtId="179" fontId="0" fillId="5" borderId="1" xfId="0" applyNumberFormat="1" applyFill="1" applyBorder="1">
      <alignment vertical="center"/>
    </xf>
    <xf numFmtId="179" fontId="0" fillId="2" borderId="1" xfId="0" applyNumberFormat="1" applyFill="1" applyBorder="1">
      <alignment vertical="center"/>
    </xf>
    <xf numFmtId="176" fontId="0" fillId="5" borderId="1" xfId="0" applyNumberFormat="1" applyFill="1" applyBorder="1">
      <alignment vertical="center"/>
    </xf>
    <xf numFmtId="0" fontId="0" fillId="2" borderId="1" xfId="0" applyFill="1" applyBorder="1">
      <alignment vertical="center"/>
    </xf>
    <xf numFmtId="0" fontId="0" fillId="3" borderId="1" xfId="0" applyFill="1" applyBorder="1">
      <alignment vertical="center"/>
    </xf>
    <xf numFmtId="0" fontId="0" fillId="5" borderId="1" xfId="0" applyFill="1" applyBorder="1">
      <alignment vertical="center"/>
    </xf>
    <xf numFmtId="176" fontId="0" fillId="0" borderId="1" xfId="0" applyNumberFormat="1" applyBorder="1" applyAlignment="1">
      <alignment vertical="center" wrapText="1"/>
    </xf>
    <xf numFmtId="0" fontId="0" fillId="4" borderId="1" xfId="0" applyFill="1" applyBorder="1">
      <alignment vertical="center"/>
    </xf>
    <xf numFmtId="182" fontId="0" fillId="4" borderId="1" xfId="0" applyNumberFormat="1" applyFill="1" applyBorder="1">
      <alignment vertical="center"/>
    </xf>
    <xf numFmtId="176" fontId="0" fillId="4" borderId="1" xfId="0" applyNumberFormat="1" applyFill="1" applyBorder="1">
      <alignment vertical="center"/>
    </xf>
    <xf numFmtId="177" fontId="0" fillId="4" borderId="1" xfId="0" applyNumberFormat="1" applyFill="1" applyBorder="1">
      <alignment vertical="center"/>
    </xf>
    <xf numFmtId="181" fontId="0" fillId="3" borderId="1" xfId="0" applyNumberFormat="1" applyFill="1" applyBorder="1">
      <alignment vertical="center"/>
    </xf>
    <xf numFmtId="181" fontId="0" fillId="2" borderId="1" xfId="0" applyNumberFormat="1" applyFill="1" applyBorder="1">
      <alignment vertical="center"/>
    </xf>
    <xf numFmtId="177" fontId="0" fillId="2" borderId="1" xfId="0" applyNumberFormat="1" applyFill="1" applyBorder="1">
      <alignment vertical="center"/>
    </xf>
    <xf numFmtId="178" fontId="0" fillId="5" borderId="1" xfId="0" applyNumberFormat="1" applyFill="1" applyBorder="1">
      <alignment vertical="center"/>
    </xf>
    <xf numFmtId="178" fontId="0" fillId="3" borderId="1" xfId="0" applyNumberFormat="1" applyFill="1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1" xfId="0" applyBorder="1">
      <alignment vertical="center"/>
    </xf>
    <xf numFmtId="183" fontId="0" fillId="0" borderId="1" xfId="0" applyNumberFormat="1" applyBorder="1">
      <alignment vertical="center"/>
    </xf>
    <xf numFmtId="180" fontId="0" fillId="2" borderId="1" xfId="0" applyNumberFormat="1" applyFill="1" applyBorder="1">
      <alignment vertical="center"/>
    </xf>
    <xf numFmtId="0" fontId="0" fillId="0" borderId="3" xfId="0" applyBorder="1">
      <alignment vertical="center"/>
    </xf>
    <xf numFmtId="0" fontId="0" fillId="7" borderId="3" xfId="0" applyFill="1" applyBorder="1">
      <alignment vertical="center"/>
    </xf>
    <xf numFmtId="0" fontId="0" fillId="7" borderId="1" xfId="0" applyFill="1" applyBorder="1">
      <alignment vertical="center"/>
    </xf>
    <xf numFmtId="0" fontId="0" fillId="8" borderId="0" xfId="0" applyFill="1">
      <alignment vertical="center"/>
    </xf>
    <xf numFmtId="0" fontId="0" fillId="0" borderId="0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178" fontId="0" fillId="3" borderId="3" xfId="0" applyNumberFormat="1" applyFill="1" applyBorder="1">
      <alignment vertical="center"/>
    </xf>
    <xf numFmtId="178" fontId="0" fillId="0" borderId="1" xfId="0" applyNumberFormat="1" applyBorder="1">
      <alignment vertical="center"/>
    </xf>
    <xf numFmtId="178" fontId="0" fillId="4" borderId="1" xfId="0" applyNumberFormat="1" applyFill="1" applyBorder="1">
      <alignment vertical="center"/>
    </xf>
    <xf numFmtId="0" fontId="0" fillId="0" borderId="1" xfId="0" applyBorder="1" applyAlignment="1">
      <alignment horizontal="right" vertical="center"/>
    </xf>
    <xf numFmtId="185" fontId="0" fillId="0" borderId="1" xfId="0" applyNumberFormat="1" applyFill="1" applyBorder="1">
      <alignment vertical="center"/>
    </xf>
    <xf numFmtId="184" fontId="0" fillId="3" borderId="1" xfId="0" applyNumberFormat="1" applyFill="1" applyBorder="1" applyAlignment="1">
      <alignment vertical="center" shrinkToFit="1"/>
    </xf>
    <xf numFmtId="185" fontId="0" fillId="3" borderId="1" xfId="0" applyNumberFormat="1" applyFill="1" applyBorder="1" applyAlignment="1">
      <alignment vertical="center"/>
    </xf>
    <xf numFmtId="185" fontId="0" fillId="0" borderId="1" xfId="0" applyNumberFormat="1" applyBorder="1" applyAlignment="1">
      <alignment vertical="center"/>
    </xf>
    <xf numFmtId="184" fontId="0" fillId="3" borderId="1" xfId="0" applyNumberFormat="1" applyFill="1" applyBorder="1" applyAlignment="1">
      <alignment vertical="center"/>
    </xf>
    <xf numFmtId="185" fontId="0" fillId="4" borderId="1" xfId="0" applyNumberFormat="1" applyFill="1" applyBorder="1">
      <alignment vertical="center"/>
    </xf>
    <xf numFmtId="183" fontId="0" fillId="0" borderId="0" xfId="0" applyNumberFormat="1">
      <alignment vertical="center"/>
    </xf>
    <xf numFmtId="178" fontId="0" fillId="4" borderId="0" xfId="0" applyNumberFormat="1" applyFill="1">
      <alignment vertical="center"/>
    </xf>
    <xf numFmtId="178" fontId="0" fillId="3" borderId="0" xfId="0" applyNumberFormat="1" applyFill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20" xfId="0" applyBorder="1">
      <alignment vertical="center"/>
    </xf>
    <xf numFmtId="0" fontId="0" fillId="0" borderId="21" xfId="0" applyBorder="1" applyAlignment="1">
      <alignment vertical="center" wrapText="1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0" fillId="0" borderId="25" xfId="0" applyBorder="1">
      <alignment vertical="center"/>
    </xf>
    <xf numFmtId="182" fontId="0" fillId="0" borderId="26" xfId="0" applyNumberFormat="1" applyBorder="1">
      <alignment vertical="center"/>
    </xf>
    <xf numFmtId="182" fontId="0" fillId="0" borderId="17" xfId="0" applyNumberFormat="1" applyBorder="1">
      <alignment vertical="center"/>
    </xf>
    <xf numFmtId="180" fontId="0" fillId="0" borderId="1" xfId="0" applyNumberFormat="1" applyBorder="1">
      <alignment vertical="center"/>
    </xf>
    <xf numFmtId="0" fontId="0" fillId="0" borderId="29" xfId="0" applyBorder="1">
      <alignment vertical="center"/>
    </xf>
    <xf numFmtId="182" fontId="0" fillId="0" borderId="30" xfId="0" applyNumberFormat="1" applyBorder="1">
      <alignment vertical="center"/>
    </xf>
    <xf numFmtId="0" fontId="0" fillId="0" borderId="33" xfId="0" applyBorder="1">
      <alignment vertical="center"/>
    </xf>
    <xf numFmtId="0" fontId="0" fillId="0" borderId="34" xfId="0" applyBorder="1">
      <alignment vertical="center"/>
    </xf>
    <xf numFmtId="0" fontId="0" fillId="10" borderId="1" xfId="0" applyFill="1" applyBorder="1" applyAlignment="1">
      <alignment vertical="center"/>
    </xf>
    <xf numFmtId="0" fontId="0" fillId="10" borderId="1" xfId="0" applyFill="1" applyBorder="1" applyAlignment="1">
      <alignment vertical="center" wrapText="1"/>
    </xf>
    <xf numFmtId="180" fontId="0" fillId="5" borderId="18" xfId="0" applyNumberFormat="1" applyFill="1" applyBorder="1">
      <alignment vertical="center"/>
    </xf>
    <xf numFmtId="180" fontId="0" fillId="5" borderId="31" xfId="0" applyNumberFormat="1" applyFill="1" applyBorder="1">
      <alignment vertical="center"/>
    </xf>
    <xf numFmtId="180" fontId="0" fillId="9" borderId="3" xfId="0" applyNumberFormat="1" applyFill="1" applyBorder="1">
      <alignment vertical="center"/>
    </xf>
    <xf numFmtId="180" fontId="0" fillId="9" borderId="1" xfId="0" applyNumberFormat="1" applyFill="1" applyBorder="1">
      <alignment vertical="center"/>
    </xf>
    <xf numFmtId="180" fontId="0" fillId="9" borderId="4" xfId="0" applyNumberFormat="1" applyFill="1" applyBorder="1">
      <alignment vertical="center"/>
    </xf>
    <xf numFmtId="180" fontId="0" fillId="9" borderId="36" xfId="0" applyNumberFormat="1" applyFill="1" applyBorder="1">
      <alignment vertical="center"/>
    </xf>
    <xf numFmtId="180" fontId="0" fillId="9" borderId="35" xfId="0" applyNumberFormat="1" applyFill="1" applyBorder="1">
      <alignment vertical="center"/>
    </xf>
    <xf numFmtId="0" fontId="0" fillId="3" borderId="24" xfId="0" applyFill="1" applyBorder="1" applyAlignment="1">
      <alignment vertical="center" wrapText="1"/>
    </xf>
    <xf numFmtId="180" fontId="0" fillId="3" borderId="28" xfId="0" applyNumberFormat="1" applyFill="1" applyBorder="1">
      <alignment vertical="center"/>
    </xf>
    <xf numFmtId="180" fontId="0" fillId="3" borderId="19" xfId="0" applyNumberFormat="1" applyFill="1" applyBorder="1">
      <alignment vertical="center"/>
    </xf>
    <xf numFmtId="180" fontId="0" fillId="3" borderId="32" xfId="0" applyNumberFormat="1" applyFill="1" applyBorder="1">
      <alignment vertical="center"/>
    </xf>
    <xf numFmtId="180" fontId="0" fillId="3" borderId="37" xfId="0" applyNumberFormat="1" applyFill="1" applyBorder="1">
      <alignment vertical="center"/>
    </xf>
    <xf numFmtId="180" fontId="0" fillId="4" borderId="27" xfId="0" applyNumberFormat="1" applyFill="1" applyBorder="1">
      <alignment vertical="center"/>
    </xf>
    <xf numFmtId="180" fontId="0" fillId="2" borderId="27" xfId="0" applyNumberFormat="1" applyFill="1" applyBorder="1">
      <alignment vertical="center"/>
    </xf>
    <xf numFmtId="180" fontId="0" fillId="2" borderId="18" xfId="0" applyNumberFormat="1" applyFill="1" applyBorder="1">
      <alignment vertical="center"/>
    </xf>
    <xf numFmtId="180" fontId="0" fillId="2" borderId="31" xfId="0" applyNumberFormat="1" applyFill="1" applyBorder="1">
      <alignment vertical="center"/>
    </xf>
    <xf numFmtId="182" fontId="0" fillId="4" borderId="4" xfId="0" applyNumberFormat="1" applyFill="1" applyBorder="1">
      <alignment vertical="center"/>
    </xf>
    <xf numFmtId="177" fontId="0" fillId="9" borderId="1" xfId="0" applyNumberFormat="1" applyFill="1" applyBorder="1">
      <alignment vertical="center"/>
    </xf>
    <xf numFmtId="0" fontId="0" fillId="0" borderId="1" xfId="0" applyFill="1" applyBorder="1" applyAlignment="1">
      <alignment vertical="center"/>
    </xf>
    <xf numFmtId="180" fontId="0" fillId="4" borderId="1" xfId="0" applyNumberFormat="1" applyFill="1" applyBorder="1">
      <alignment vertical="center"/>
    </xf>
    <xf numFmtId="178" fontId="0" fillId="0" borderId="1" xfId="0" applyNumberFormat="1" applyFill="1" applyBorder="1" applyAlignment="1">
      <alignment vertical="center"/>
    </xf>
    <xf numFmtId="183" fontId="0" fillId="3" borderId="1" xfId="0" applyNumberFormat="1" applyFill="1" applyBorder="1">
      <alignment vertical="center"/>
    </xf>
    <xf numFmtId="183" fontId="0" fillId="9" borderId="1" xfId="0" applyNumberFormat="1" applyFill="1" applyBorder="1">
      <alignment vertical="center"/>
    </xf>
    <xf numFmtId="49" fontId="4" fillId="6" borderId="0" xfId="0" applyNumberFormat="1" applyFont="1" applyFill="1" applyAlignment="1">
      <alignment vertical="center"/>
    </xf>
    <xf numFmtId="0" fontId="5" fillId="6" borderId="0" xfId="0" applyFont="1" applyFill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8" borderId="1" xfId="0" applyFill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altLang="ja-JP"/>
              <a:t>Grand Composite Curve</a:t>
            </a:r>
            <a:endParaRPr lang="ja-JP" altLang="en-US"/>
          </a:p>
        </c:rich>
      </c:tx>
      <c:layout>
        <c:manualLayout>
          <c:xMode val="edge"/>
          <c:yMode val="edge"/>
          <c:x val="0.308956144140285"/>
          <c:y val="0.0616779957251064"/>
        </c:manualLayout>
      </c:layout>
      <c:overlay val="1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Grand Composite Curve</c:v>
          </c:tx>
          <c:marker>
            <c:symbol val="none"/>
          </c:marker>
          <c:xVal>
            <c:numRef>
              <c:f>'Problem Table'!$A$79:$A$100</c:f>
              <c:numCache>
                <c:formatCode>0.000000_ </c:formatCode>
                <c:ptCount val="22"/>
                <c:pt idx="0">
                  <c:v>776.6098407003502</c:v>
                </c:pt>
                <c:pt idx="1">
                  <c:v>870.71838757535</c:v>
                </c:pt>
                <c:pt idx="2">
                  <c:v>871.8302729920169</c:v>
                </c:pt>
                <c:pt idx="3">
                  <c:v>651.3282656975119</c:v>
                </c:pt>
                <c:pt idx="4">
                  <c:v>569.056563595202</c:v>
                </c:pt>
                <c:pt idx="5">
                  <c:v>548.1457005752776</c:v>
                </c:pt>
                <c:pt idx="6">
                  <c:v>539.4106242016358</c:v>
                </c:pt>
                <c:pt idx="7">
                  <c:v>533.8370662574875</c:v>
                </c:pt>
                <c:pt idx="8">
                  <c:v>523.551135551793</c:v>
                </c:pt>
                <c:pt idx="9">
                  <c:v>528.1814302915942</c:v>
                </c:pt>
                <c:pt idx="10">
                  <c:v>531.9905663967739</c:v>
                </c:pt>
                <c:pt idx="11">
                  <c:v>538.8643273267519</c:v>
                </c:pt>
                <c:pt idx="12">
                  <c:v>545.3481144067221</c:v>
                </c:pt>
                <c:pt idx="13">
                  <c:v>121.2128062051514</c:v>
                </c:pt>
                <c:pt idx="14">
                  <c:v>49.8959156058541</c:v>
                </c:pt>
                <c:pt idx="15">
                  <c:v>36.35949095785128</c:v>
                </c:pt>
                <c:pt idx="16">
                  <c:v>35.41945447117819</c:v>
                </c:pt>
                <c:pt idx="17">
                  <c:v>12.35160806233842</c:v>
                </c:pt>
                <c:pt idx="18">
                  <c:v>-1.56319401867222E-13</c:v>
                </c:pt>
                <c:pt idx="19">
                  <c:v>28.90486291411342</c:v>
                </c:pt>
                <c:pt idx="20">
                  <c:v>29.2143805668061</c:v>
                </c:pt>
                <c:pt idx="21">
                  <c:v>18.36406408080261</c:v>
                </c:pt>
              </c:numCache>
            </c:numRef>
          </c:xVal>
          <c:yVal>
            <c:numRef>
              <c:f>'Problem Table'!$B$79:$B$100</c:f>
              <c:numCache>
                <c:formatCode>General</c:formatCode>
                <c:ptCount val="22"/>
                <c:pt idx="0">
                  <c:v>990.0</c:v>
                </c:pt>
                <c:pt idx="1">
                  <c:v>837.0</c:v>
                </c:pt>
                <c:pt idx="2">
                  <c:v>827.0</c:v>
                </c:pt>
                <c:pt idx="3">
                  <c:v>505.0</c:v>
                </c:pt>
                <c:pt idx="4">
                  <c:v>460.0</c:v>
                </c:pt>
                <c:pt idx="5">
                  <c:v>438.0</c:v>
                </c:pt>
                <c:pt idx="6">
                  <c:v>414.0</c:v>
                </c:pt>
                <c:pt idx="7">
                  <c:v>400.0</c:v>
                </c:pt>
                <c:pt idx="8">
                  <c:v>380.0</c:v>
                </c:pt>
                <c:pt idx="9">
                  <c:v>370.0</c:v>
                </c:pt>
                <c:pt idx="10">
                  <c:v>365.0</c:v>
                </c:pt>
                <c:pt idx="11">
                  <c:v>327.0</c:v>
                </c:pt>
                <c:pt idx="12">
                  <c:v>314.0</c:v>
                </c:pt>
                <c:pt idx="13">
                  <c:v>313.0</c:v>
                </c:pt>
                <c:pt idx="14">
                  <c:v>184.0</c:v>
                </c:pt>
                <c:pt idx="15">
                  <c:v>153.0</c:v>
                </c:pt>
                <c:pt idx="16">
                  <c:v>150.0</c:v>
                </c:pt>
                <c:pt idx="17">
                  <c:v>132.0</c:v>
                </c:pt>
                <c:pt idx="18">
                  <c:v>120.0</c:v>
                </c:pt>
                <c:pt idx="19">
                  <c:v>60.0</c:v>
                </c:pt>
                <c:pt idx="20">
                  <c:v>58.0</c:v>
                </c:pt>
                <c:pt idx="21">
                  <c:v>50.0</c:v>
                </c:pt>
              </c:numCache>
            </c:numRef>
          </c:yVal>
          <c:smooth val="0"/>
        </c:ser>
        <c:ser>
          <c:idx val="1"/>
          <c:order val="1"/>
          <c:tx>
            <c:v>Furnace Curve</c:v>
          </c:tx>
          <c:marker>
            <c:symbol val="none"/>
          </c:marker>
          <c:xVal>
            <c:numRef>
              <c:f>'Problem Table'!$A$102:$A$103</c:f>
              <c:numCache>
                <c:formatCode>0.000000_ </c:formatCode>
                <c:ptCount val="2"/>
                <c:pt idx="0">
                  <c:v>776.6098407003502</c:v>
                </c:pt>
                <c:pt idx="1">
                  <c:v>-1.56319401867222E-13</c:v>
                </c:pt>
              </c:numCache>
            </c:numRef>
          </c:xVal>
          <c:yVal>
            <c:numRef>
              <c:f>'Problem Table'!$B$102:$B$103</c:f>
              <c:numCache>
                <c:formatCode>General</c:formatCode>
                <c:ptCount val="2"/>
                <c:pt idx="0">
                  <c:v>2019.47749874705</c:v>
                </c:pt>
                <c:pt idx="1">
                  <c:v>279.040319805021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16936824"/>
        <c:axId val="2120668712"/>
      </c:scatterChart>
      <c:valAx>
        <c:axId val="2116936824"/>
        <c:scaling>
          <c:orientation val="minMax"/>
          <c:max val="900.0"/>
          <c:min val="0.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en-US"/>
                  <a:t>Heat Duty [MMkJ/h]</a:t>
                </a:r>
              </a:p>
            </c:rich>
          </c:tx>
          <c:overlay val="0"/>
        </c:title>
        <c:numFmt formatCode="0_ " sourceLinked="0"/>
        <c:majorTickMark val="out"/>
        <c:minorTickMark val="none"/>
        <c:tickLblPos val="nextTo"/>
        <c:crossAx val="2120668712"/>
        <c:crosses val="autoZero"/>
        <c:crossBetween val="midCat"/>
        <c:majorUnit val="100.0"/>
        <c:minorUnit val="50.0"/>
      </c:valAx>
      <c:valAx>
        <c:axId val="2120668712"/>
        <c:scaling>
          <c:orientation val="minMax"/>
          <c:max val="2500.0"/>
          <c:min val="0.0"/>
        </c:scaling>
        <c:delete val="0"/>
        <c:axPos val="l"/>
        <c:majorGridlines/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altLang="ja-JP"/>
                  <a:t>Temperatre [</a:t>
                </a:r>
                <a:r>
                  <a:rPr lang="ja-JP" altLang="en-US"/>
                  <a:t>℃」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116936824"/>
        <c:crosses val="autoZero"/>
        <c:crossBetween val="midCat"/>
        <c:majorUnit val="500.0"/>
        <c:minorUnit val="100.0"/>
      </c:valAx>
    </c:plotArea>
    <c:legend>
      <c:legendPos val="r"/>
      <c:layout>
        <c:manualLayout>
          <c:xMode val="edge"/>
          <c:yMode val="edge"/>
          <c:x val="0.657853880711293"/>
          <c:y val="0.423027262776994"/>
          <c:w val="0.278137000966984"/>
          <c:h val="0.0640386396268101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704850</xdr:colOff>
      <xdr:row>77</xdr:row>
      <xdr:rowOff>171449</xdr:rowOff>
    </xdr:from>
    <xdr:to>
      <xdr:col>13</xdr:col>
      <xdr:colOff>466725</xdr:colOff>
      <xdr:row>119</xdr:row>
      <xdr:rowOff>142875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76"/>
  <sheetViews>
    <sheetView topLeftCell="A19" workbookViewId="0">
      <selection activeCell="J82" sqref="J82"/>
    </sheetView>
  </sheetViews>
  <sheetFormatPr baseColWidth="12" defaultColWidth="8.83203125" defaultRowHeight="17" x14ac:dyDescent="0"/>
  <cols>
    <col min="1" max="1" width="5.6640625" style="6" customWidth="1"/>
    <col min="2" max="4" width="5.6640625" customWidth="1"/>
    <col min="5" max="5" width="9" customWidth="1"/>
    <col min="6" max="6" width="9.5" bestFit="1" customWidth="1"/>
    <col min="9" max="9" width="10" customWidth="1"/>
    <col min="10" max="10" width="8.83203125" style="11"/>
    <col min="13" max="13" width="8.83203125" style="3"/>
  </cols>
  <sheetData>
    <row r="2" spans="1:14">
      <c r="B2" s="22"/>
      <c r="D2" t="s">
        <v>73</v>
      </c>
    </row>
    <row r="3" spans="1:14">
      <c r="B3" s="23"/>
      <c r="D3" t="s">
        <v>74</v>
      </c>
    </row>
    <row r="4" spans="1:14">
      <c r="B4" s="26"/>
      <c r="D4" t="s">
        <v>75</v>
      </c>
    </row>
    <row r="5" spans="1:14">
      <c r="B5" s="24"/>
      <c r="D5" t="s">
        <v>76</v>
      </c>
    </row>
    <row r="9" spans="1:14">
      <c r="A9" s="107" t="s">
        <v>83</v>
      </c>
      <c r="B9" s="108"/>
      <c r="C9" s="108"/>
    </row>
    <row r="10" spans="1:14" ht="29">
      <c r="J10" s="25" t="s">
        <v>55</v>
      </c>
      <c r="M10" s="16" t="s">
        <v>56</v>
      </c>
    </row>
    <row r="11" spans="1:14">
      <c r="A11" s="6" t="s">
        <v>1</v>
      </c>
    </row>
    <row r="12" spans="1:14">
      <c r="A12" s="7" t="s">
        <v>3</v>
      </c>
      <c r="B12" t="s">
        <v>2</v>
      </c>
    </row>
    <row r="13" spans="1:14">
      <c r="B13" t="s">
        <v>0</v>
      </c>
    </row>
    <row r="14" spans="1:14">
      <c r="C14" t="s">
        <v>5</v>
      </c>
      <c r="J14" s="15">
        <v>333</v>
      </c>
      <c r="K14" t="s">
        <v>4</v>
      </c>
      <c r="L14" s="2"/>
      <c r="M14" s="17">
        <v>554.85</v>
      </c>
      <c r="N14" t="s">
        <v>26</v>
      </c>
    </row>
    <row r="15" spans="1:14">
      <c r="C15" t="s">
        <v>6</v>
      </c>
      <c r="J15" s="14">
        <v>0</v>
      </c>
      <c r="K15" t="s">
        <v>7</v>
      </c>
      <c r="L15" s="2"/>
      <c r="M15" s="17">
        <v>554.85</v>
      </c>
      <c r="N15" t="s">
        <v>25</v>
      </c>
    </row>
    <row r="16" spans="1:14">
      <c r="B16" t="s">
        <v>8</v>
      </c>
      <c r="J16" s="15">
        <v>10.7</v>
      </c>
      <c r="K16" t="s">
        <v>4</v>
      </c>
      <c r="L16" s="2"/>
      <c r="M16" s="17">
        <v>2722.6</v>
      </c>
      <c r="N16" t="s">
        <v>25</v>
      </c>
    </row>
    <row r="18" spans="1:23">
      <c r="A18" s="7" t="s">
        <v>9</v>
      </c>
      <c r="B18" t="s">
        <v>10</v>
      </c>
    </row>
    <row r="19" spans="1:23">
      <c r="B19" t="s">
        <v>11</v>
      </c>
      <c r="G19" t="s">
        <v>13</v>
      </c>
      <c r="I19" s="5" t="s">
        <v>17</v>
      </c>
    </row>
    <row r="20" spans="1:23">
      <c r="C20" t="s">
        <v>12</v>
      </c>
      <c r="G20" s="19">
        <v>28.803000000000001</v>
      </c>
      <c r="H20" t="s">
        <v>14</v>
      </c>
      <c r="I20" s="21">
        <f>2940-623.6</f>
        <v>2316.4</v>
      </c>
      <c r="J20" s="18">
        <f>G20*10^6/I20/1000</f>
        <v>12.434380935935071</v>
      </c>
      <c r="K20" t="s">
        <v>19</v>
      </c>
      <c r="M20" s="17">
        <v>623.6</v>
      </c>
      <c r="N20" t="s">
        <v>25</v>
      </c>
    </row>
    <row r="21" spans="1:23">
      <c r="C21" t="s">
        <v>15</v>
      </c>
      <c r="G21" s="20">
        <v>0</v>
      </c>
      <c r="H21" s="4" t="s">
        <v>16</v>
      </c>
      <c r="I21" s="21">
        <f>2940-623.6</f>
        <v>2316.4</v>
      </c>
      <c r="J21" s="18">
        <f>G21*10^6/I21/1000</f>
        <v>0</v>
      </c>
      <c r="K21" t="s">
        <v>18</v>
      </c>
      <c r="M21" s="17">
        <v>623.6</v>
      </c>
      <c r="N21" t="s">
        <v>25</v>
      </c>
    </row>
    <row r="22" spans="1:23">
      <c r="B22" t="s">
        <v>20</v>
      </c>
      <c r="G22" s="20">
        <v>0</v>
      </c>
      <c r="H22" t="s">
        <v>21</v>
      </c>
      <c r="I22" s="21">
        <f>3167.7-1101.4</f>
        <v>2066.2999999999997</v>
      </c>
      <c r="J22" s="18">
        <f>G22*10^6/I22/1000</f>
        <v>0</v>
      </c>
      <c r="K22" t="s">
        <v>19</v>
      </c>
      <c r="M22" s="17">
        <v>1101.4059999999999</v>
      </c>
      <c r="N22" t="s">
        <v>25</v>
      </c>
      <c r="O22" t="s">
        <v>22</v>
      </c>
    </row>
    <row r="23" spans="1:23">
      <c r="J23" s="18">
        <f>J22*(M22-M24)/(M23-M24)</f>
        <v>0</v>
      </c>
      <c r="K23" t="s">
        <v>18</v>
      </c>
      <c r="M23" s="17">
        <v>2743</v>
      </c>
      <c r="N23" t="s">
        <v>25</v>
      </c>
      <c r="O23" t="s">
        <v>23</v>
      </c>
    </row>
    <row r="24" spans="1:23">
      <c r="J24" s="18">
        <f>J22*(1-(M22-M24)/(M23-M24))</f>
        <v>0</v>
      </c>
      <c r="K24" t="s">
        <v>19</v>
      </c>
      <c r="M24" s="17">
        <v>623.6</v>
      </c>
      <c r="N24" t="s">
        <v>25</v>
      </c>
      <c r="O24" t="s">
        <v>24</v>
      </c>
      <c r="Q24" t="s">
        <v>78</v>
      </c>
      <c r="S24" t="s">
        <v>84</v>
      </c>
      <c r="V24" t="s">
        <v>77</v>
      </c>
    </row>
    <row r="25" spans="1:23">
      <c r="B25" t="s">
        <v>27</v>
      </c>
      <c r="J25" s="18">
        <f t="array" ref="J25:J26">MMULT(V25:W26,Q25:Q26)</f>
        <v>321.89795653121803</v>
      </c>
      <c r="K25" t="s">
        <v>18</v>
      </c>
      <c r="M25" s="17">
        <v>554.84</v>
      </c>
      <c r="N25" t="s">
        <v>25</v>
      </c>
      <c r="Q25" s="28">
        <f>J14+J15+J16-J20-J21-J24</f>
        <v>331.26561906406494</v>
      </c>
      <c r="R25" s="2" t="s">
        <v>29</v>
      </c>
      <c r="S25" s="26">
        <v>1</v>
      </c>
      <c r="T25" s="26">
        <v>1</v>
      </c>
      <c r="U25" s="2" t="s">
        <v>30</v>
      </c>
      <c r="V25" s="23">
        <f t="array" ref="V25:W26">MINVERSE(S25:T26)</f>
        <v>1.2326217109124755</v>
      </c>
      <c r="W25" s="23">
        <v>-0.41925908534437945</v>
      </c>
    </row>
    <row r="26" spans="1:23">
      <c r="B26" t="s">
        <v>28</v>
      </c>
      <c r="J26" s="18">
        <v>9.3676625328469072</v>
      </c>
      <c r="K26" t="s">
        <v>18</v>
      </c>
      <c r="M26" s="17">
        <v>2940</v>
      </c>
      <c r="N26" t="s">
        <v>25</v>
      </c>
      <c r="Q26" s="26">
        <f>((J14*M14+J15*M15+J16*M16)-(J20*M20+J21*M21+J24*M24))/1000</f>
        <v>206.14279004835089</v>
      </c>
      <c r="S26" s="29">
        <f>M25/1000</f>
        <v>0.55484</v>
      </c>
      <c r="T26" s="29">
        <f>M26/1000</f>
        <v>2.94</v>
      </c>
      <c r="V26" s="23">
        <v>-0.23262171091247547</v>
      </c>
      <c r="W26" s="23">
        <v>0.41925908534437945</v>
      </c>
    </row>
    <row r="28" spans="1:23">
      <c r="A28" s="6" t="s">
        <v>181</v>
      </c>
    </row>
    <row r="29" spans="1:23">
      <c r="A29" s="7" t="s">
        <v>31</v>
      </c>
      <c r="B29" t="s">
        <v>32</v>
      </c>
    </row>
    <row r="31" spans="1:23">
      <c r="B31" t="s">
        <v>11</v>
      </c>
    </row>
    <row r="32" spans="1:23">
      <c r="C32" t="s">
        <v>12</v>
      </c>
      <c r="J32" s="27">
        <f>J20</f>
        <v>12.434380935935071</v>
      </c>
      <c r="K32" t="s">
        <v>19</v>
      </c>
      <c r="M32" s="17">
        <v>2940</v>
      </c>
      <c r="N32" t="s">
        <v>25</v>
      </c>
    </row>
    <row r="33" spans="1:14">
      <c r="C33" t="s">
        <v>15</v>
      </c>
      <c r="J33" s="27">
        <f>J21</f>
        <v>0</v>
      </c>
      <c r="K33" t="s">
        <v>18</v>
      </c>
      <c r="M33" s="17">
        <v>2940</v>
      </c>
      <c r="N33" t="s">
        <v>25</v>
      </c>
    </row>
    <row r="34" spans="1:14">
      <c r="B34" t="s">
        <v>28</v>
      </c>
      <c r="J34" s="27">
        <f>J26</f>
        <v>9.3676625328469072</v>
      </c>
      <c r="K34" t="s">
        <v>33</v>
      </c>
      <c r="M34" s="17">
        <v>2940</v>
      </c>
      <c r="N34" t="s">
        <v>25</v>
      </c>
    </row>
    <row r="36" spans="1:14">
      <c r="A36" s="7" t="s">
        <v>34</v>
      </c>
      <c r="B36" t="s">
        <v>35</v>
      </c>
    </row>
    <row r="37" spans="1:14">
      <c r="B37" t="s">
        <v>38</v>
      </c>
      <c r="J37" s="15">
        <v>1.3</v>
      </c>
      <c r="K37" t="s">
        <v>33</v>
      </c>
      <c r="M37" s="17">
        <v>2743</v>
      </c>
      <c r="N37" t="s">
        <v>25</v>
      </c>
    </row>
    <row r="38" spans="1:14">
      <c r="B38" t="s">
        <v>37</v>
      </c>
      <c r="J38" s="15">
        <v>20.5</v>
      </c>
      <c r="K38" t="s">
        <v>33</v>
      </c>
      <c r="M38" s="17">
        <v>2956.4</v>
      </c>
      <c r="N38" t="s">
        <v>25</v>
      </c>
    </row>
    <row r="39" spans="1:14">
      <c r="B39" t="s">
        <v>36</v>
      </c>
      <c r="J39" s="27">
        <f>J23</f>
        <v>0</v>
      </c>
      <c r="K39" t="s">
        <v>33</v>
      </c>
      <c r="M39" s="17">
        <f>M23</f>
        <v>2743</v>
      </c>
      <c r="N39" t="s">
        <v>25</v>
      </c>
    </row>
    <row r="40" spans="1:14">
      <c r="B40" t="s">
        <v>39</v>
      </c>
      <c r="J40" s="27">
        <f>J32+J33+J34-J37-J38-J39</f>
        <v>2.0434687819772535E-3</v>
      </c>
      <c r="K40" t="s">
        <v>33</v>
      </c>
      <c r="M40" s="17">
        <v>2940</v>
      </c>
      <c r="N40" t="s">
        <v>25</v>
      </c>
    </row>
    <row r="41" spans="1:14">
      <c r="B41" t="s">
        <v>40</v>
      </c>
      <c r="F41" s="1"/>
      <c r="J41" s="27">
        <f>(M40-M42)/(M41-M42)*J40</f>
        <v>1.865388884219157E-3</v>
      </c>
      <c r="K41" t="s">
        <v>33</v>
      </c>
      <c r="M41" s="17">
        <v>3167.7</v>
      </c>
      <c r="N41" t="s">
        <v>25</v>
      </c>
    </row>
    <row r="42" spans="1:14">
      <c r="B42" t="s">
        <v>41</v>
      </c>
      <c r="F42" s="1"/>
      <c r="J42" s="27">
        <f>(1-(M40-M42)/(M41-M42))*J40</f>
        <v>1.7807989775809653E-4</v>
      </c>
      <c r="K42" t="s">
        <v>33</v>
      </c>
      <c r="M42" s="17">
        <v>554.84</v>
      </c>
      <c r="N42" t="s">
        <v>25</v>
      </c>
    </row>
    <row r="44" spans="1:14">
      <c r="A44" s="6" t="s">
        <v>42</v>
      </c>
    </row>
    <row r="45" spans="1:14">
      <c r="A45" s="7" t="s">
        <v>31</v>
      </c>
      <c r="B45" t="s">
        <v>32</v>
      </c>
    </row>
    <row r="46" spans="1:14">
      <c r="B46" t="s">
        <v>43</v>
      </c>
      <c r="E46" t="s">
        <v>45</v>
      </c>
      <c r="F46" s="32">
        <v>3277.8419290000002</v>
      </c>
      <c r="G46" t="s">
        <v>46</v>
      </c>
      <c r="H46" s="30">
        <f>12936*F46/3277.84</f>
        <v>12936.007612801113</v>
      </c>
      <c r="I46" t="s">
        <v>44</v>
      </c>
      <c r="J46" s="18">
        <f>63*H46/12936</f>
        <v>63.000037075330091</v>
      </c>
      <c r="K46" t="s">
        <v>33</v>
      </c>
    </row>
    <row r="47" spans="1:14">
      <c r="B47" t="s">
        <v>47</v>
      </c>
      <c r="E47" t="s">
        <v>48</v>
      </c>
      <c r="F47" s="32">
        <v>2335</v>
      </c>
      <c r="G47" t="s">
        <v>46</v>
      </c>
      <c r="H47" s="30">
        <f>3498*F47/2335</f>
        <v>3498</v>
      </c>
      <c r="I47" t="s">
        <v>44</v>
      </c>
      <c r="J47" s="18">
        <f>17.5*H47/3498</f>
        <v>17.5</v>
      </c>
      <c r="K47" t="s">
        <v>33</v>
      </c>
    </row>
    <row r="48" spans="1:14">
      <c r="B48" t="s">
        <v>49</v>
      </c>
      <c r="J48" s="15">
        <v>8.3000000000000007</v>
      </c>
      <c r="K48" t="s">
        <v>18</v>
      </c>
    </row>
    <row r="49" spans="1:12">
      <c r="B49" t="s">
        <v>50</v>
      </c>
      <c r="F49" s="8"/>
      <c r="H49" s="31">
        <v>11651</v>
      </c>
      <c r="I49" t="s">
        <v>44</v>
      </c>
      <c r="J49" s="18">
        <f>56.7*H49/11651</f>
        <v>56.7</v>
      </c>
      <c r="K49" t="s">
        <v>18</v>
      </c>
    </row>
    <row r="50" spans="1:12">
      <c r="A50" s="7"/>
      <c r="B50" t="s">
        <v>51</v>
      </c>
      <c r="J50" s="14">
        <v>126.2</v>
      </c>
      <c r="K50" t="s">
        <v>18</v>
      </c>
    </row>
    <row r="51" spans="1:12">
      <c r="A51" s="7"/>
      <c r="B51" t="s">
        <v>52</v>
      </c>
      <c r="J51" s="14">
        <v>6.6</v>
      </c>
      <c r="K51" t="s">
        <v>18</v>
      </c>
    </row>
    <row r="52" spans="1:12">
      <c r="A52" s="7"/>
      <c r="B52" t="s">
        <v>20</v>
      </c>
      <c r="J52" s="27">
        <f>J22</f>
        <v>0</v>
      </c>
      <c r="K52" t="s">
        <v>18</v>
      </c>
    </row>
    <row r="53" spans="1:12">
      <c r="A53" s="9"/>
      <c r="B53" t="s">
        <v>37</v>
      </c>
      <c r="J53" s="15">
        <f>J38</f>
        <v>20.5</v>
      </c>
      <c r="K53" t="s">
        <v>18</v>
      </c>
    </row>
    <row r="54" spans="1:12">
      <c r="A54" s="7"/>
      <c r="B54" t="s">
        <v>53</v>
      </c>
      <c r="J54" s="27">
        <f>J41</f>
        <v>1.865388884219157E-3</v>
      </c>
      <c r="K54" t="s">
        <v>18</v>
      </c>
    </row>
    <row r="55" spans="1:12">
      <c r="A55" s="7"/>
      <c r="B55" s="10" t="s">
        <v>60</v>
      </c>
      <c r="C55" s="10"/>
      <c r="D55" s="10"/>
      <c r="E55" s="10"/>
      <c r="F55" s="10"/>
      <c r="G55" s="10"/>
      <c r="H55" s="10"/>
      <c r="I55" s="10"/>
      <c r="J55" s="12">
        <f>SUM(J46:J54)</f>
        <v>298.80190246421432</v>
      </c>
      <c r="K55" s="10" t="s">
        <v>18</v>
      </c>
    </row>
    <row r="56" spans="1:12">
      <c r="A56" s="7"/>
    </row>
    <row r="57" spans="1:12">
      <c r="A57" s="7" t="s">
        <v>34</v>
      </c>
      <c r="B57" t="s">
        <v>54</v>
      </c>
    </row>
    <row r="58" spans="1:12">
      <c r="B58" t="s">
        <v>57</v>
      </c>
      <c r="H58" s="13">
        <v>24919</v>
      </c>
      <c r="I58" t="s">
        <v>44</v>
      </c>
      <c r="J58" s="18">
        <f>H58*3600/(3374.6-3167.7)/1000</f>
        <v>433.58337361043965</v>
      </c>
      <c r="K58" t="s">
        <v>58</v>
      </c>
      <c r="L58" t="s">
        <v>59</v>
      </c>
    </row>
    <row r="59" spans="1:12">
      <c r="B59" t="s">
        <v>61</v>
      </c>
      <c r="J59" s="18">
        <f>(ABS(J58-J55)-(J58-J55))/2</f>
        <v>0</v>
      </c>
      <c r="K59" t="s">
        <v>62</v>
      </c>
    </row>
    <row r="61" spans="1:12">
      <c r="A61" s="6" t="s">
        <v>63</v>
      </c>
    </row>
    <row r="62" spans="1:12">
      <c r="A62" s="7" t="s">
        <v>65</v>
      </c>
      <c r="B62" t="s">
        <v>66</v>
      </c>
    </row>
    <row r="63" spans="1:12">
      <c r="A63" s="7"/>
      <c r="B63" t="s">
        <v>67</v>
      </c>
    </row>
    <row r="64" spans="1:12">
      <c r="B64" t="s">
        <v>64</v>
      </c>
      <c r="J64" s="27">
        <f>J55-J59</f>
        <v>298.80190246421432</v>
      </c>
      <c r="K64" t="s">
        <v>62</v>
      </c>
    </row>
    <row r="65" spans="1:11">
      <c r="B65" t="s">
        <v>68</v>
      </c>
      <c r="J65" s="18">
        <f>INT((H58*3600/1000+J64*(3167.7-2473))/((3374.6-2473))*10+0.5)/10</f>
        <v>329.7</v>
      </c>
      <c r="K65" t="s">
        <v>62</v>
      </c>
    </row>
    <row r="66" spans="1:11">
      <c r="B66" t="s">
        <v>69</v>
      </c>
      <c r="J66" s="18">
        <f>J65-J64</f>
        <v>30.898097535785666</v>
      </c>
      <c r="K66" t="s">
        <v>62</v>
      </c>
    </row>
    <row r="68" spans="1:11">
      <c r="A68" s="7" t="s">
        <v>70</v>
      </c>
      <c r="B68" t="s">
        <v>71</v>
      </c>
    </row>
    <row r="69" spans="1:11">
      <c r="B69" t="s">
        <v>72</v>
      </c>
      <c r="J69" s="15">
        <v>329.7</v>
      </c>
      <c r="K69" t="s">
        <v>18</v>
      </c>
    </row>
    <row r="70" spans="1:11">
      <c r="B70" t="s">
        <v>182</v>
      </c>
      <c r="J70" s="18">
        <f>J65-J69</f>
        <v>0</v>
      </c>
      <c r="K70" t="s">
        <v>18</v>
      </c>
    </row>
    <row r="72" spans="1:11">
      <c r="A72" s="6" t="s">
        <v>183</v>
      </c>
    </row>
    <row r="73" spans="1:11">
      <c r="B73" t="s">
        <v>79</v>
      </c>
      <c r="G73" s="34">
        <f>J25*(M25-209.34)/1000</f>
        <v>111.21574398153582</v>
      </c>
      <c r="H73" t="s">
        <v>14</v>
      </c>
    </row>
    <row r="74" spans="1:11">
      <c r="B74" t="s">
        <v>80</v>
      </c>
      <c r="G74" s="33">
        <v>291.14499999999998</v>
      </c>
      <c r="H74" s="4" t="s">
        <v>14</v>
      </c>
    </row>
    <row r="75" spans="1:11">
      <c r="B75" t="s">
        <v>81</v>
      </c>
      <c r="G75" s="33">
        <v>425.19099999999997</v>
      </c>
      <c r="H75" t="s">
        <v>14</v>
      </c>
    </row>
    <row r="76" spans="1:11">
      <c r="B76" t="s">
        <v>82</v>
      </c>
      <c r="G76" s="33">
        <v>218.40299999999999</v>
      </c>
      <c r="H76" t="s">
        <v>14</v>
      </c>
    </row>
  </sheetData>
  <mergeCells count="1">
    <mergeCell ref="A9:C9"/>
  </mergeCells>
  <phoneticPr fontId="1"/>
  <pageMargins left="0.7" right="0.7" top="0.75" bottom="0.75" header="0.3" footer="0.3"/>
  <pageSetup paperSize="9" orientation="portrait" verticalDpi="0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122"/>
  <sheetViews>
    <sheetView topLeftCell="G43" workbookViewId="0">
      <selection activeCell="S74" sqref="S74"/>
    </sheetView>
  </sheetViews>
  <sheetFormatPr baseColWidth="12" defaultColWidth="8.83203125" defaultRowHeight="17" x14ac:dyDescent="0"/>
  <cols>
    <col min="1" max="1" width="11.6640625" bestFit="1" customWidth="1"/>
    <col min="3" max="3" width="11.6640625" bestFit="1" customWidth="1"/>
    <col min="4" max="4" width="9.6640625" bestFit="1" customWidth="1"/>
    <col min="5" max="5" width="9" customWidth="1"/>
    <col min="6" max="6" width="9.5" bestFit="1" customWidth="1"/>
    <col min="7" max="7" width="9.6640625" bestFit="1" customWidth="1"/>
    <col min="8" max="10" width="9.5" bestFit="1" customWidth="1"/>
    <col min="11" max="13" width="10.5" bestFit="1" customWidth="1"/>
    <col min="14" max="14" width="10.6640625" bestFit="1" customWidth="1"/>
    <col min="15" max="16" width="10.5" bestFit="1" customWidth="1"/>
    <col min="17" max="18" width="10.5" customWidth="1"/>
    <col min="19" max="19" width="10.5" bestFit="1" customWidth="1"/>
    <col min="20" max="22" width="11.6640625" bestFit="1" customWidth="1"/>
    <col min="23" max="24" width="10.6640625" bestFit="1" customWidth="1"/>
  </cols>
  <sheetData>
    <row r="2" spans="1:8">
      <c r="A2" s="44" t="s">
        <v>118</v>
      </c>
      <c r="B2" s="44"/>
      <c r="C2" s="44"/>
      <c r="D2" s="44"/>
    </row>
    <row r="4" spans="1:8">
      <c r="A4" t="s">
        <v>185</v>
      </c>
      <c r="G4" s="40">
        <v>2337.1</v>
      </c>
      <c r="H4" s="38" t="s">
        <v>113</v>
      </c>
    </row>
    <row r="5" spans="1:8">
      <c r="A5" t="s">
        <v>184</v>
      </c>
      <c r="G5" s="40">
        <v>43173.006567999997</v>
      </c>
      <c r="H5" s="38" t="s">
        <v>113</v>
      </c>
    </row>
    <row r="6" spans="1:8">
      <c r="A6" t="s">
        <v>120</v>
      </c>
      <c r="G6" s="103">
        <f>'Steam Balance'!F46</f>
        <v>3277.8419290000002</v>
      </c>
      <c r="H6" s="38" t="s">
        <v>121</v>
      </c>
    </row>
    <row r="7" spans="1:8">
      <c r="G7" s="8"/>
    </row>
    <row r="8" spans="1:8">
      <c r="A8" s="46"/>
      <c r="B8" s="10" t="s">
        <v>116</v>
      </c>
      <c r="C8" s="48"/>
      <c r="D8" s="46" t="s">
        <v>117</v>
      </c>
      <c r="G8" s="8"/>
    </row>
    <row r="9" spans="1:8">
      <c r="A9" s="47"/>
      <c r="B9" s="45" t="s">
        <v>114</v>
      </c>
      <c r="C9" s="49"/>
      <c r="D9" s="47" t="s">
        <v>114</v>
      </c>
      <c r="G9" s="8"/>
    </row>
    <row r="10" spans="1:8" ht="18" thickBot="1">
      <c r="A10" s="50" t="s">
        <v>112</v>
      </c>
      <c r="B10" s="51" t="s">
        <v>115</v>
      </c>
      <c r="C10" s="52"/>
      <c r="D10" s="50" t="s">
        <v>115</v>
      </c>
    </row>
    <row r="11" spans="1:8">
      <c r="A11" s="41" t="s">
        <v>92</v>
      </c>
      <c r="B11" s="42">
        <v>354.291</v>
      </c>
      <c r="C11" s="41"/>
      <c r="D11" s="53">
        <f>B11*G$4/2337.1</f>
        <v>354.291</v>
      </c>
    </row>
    <row r="12" spans="1:8">
      <c r="A12" s="38" t="s">
        <v>93</v>
      </c>
      <c r="B12" s="43">
        <v>28.466000000000001</v>
      </c>
      <c r="C12" s="38"/>
      <c r="D12" s="34">
        <f t="shared" ref="D12:D16" si="0">B12*G$4/2337.1</f>
        <v>28.466000000000005</v>
      </c>
    </row>
    <row r="13" spans="1:8">
      <c r="A13" s="38" t="s">
        <v>94</v>
      </c>
      <c r="B13" s="43">
        <v>72.73</v>
      </c>
      <c r="C13" s="38"/>
      <c r="D13" s="34">
        <f t="shared" si="0"/>
        <v>72.73</v>
      </c>
    </row>
    <row r="14" spans="1:8">
      <c r="A14" s="38" t="s">
        <v>95</v>
      </c>
      <c r="B14" s="43">
        <v>93.685000000000002</v>
      </c>
      <c r="C14" s="38"/>
      <c r="D14" s="34">
        <f t="shared" si="0"/>
        <v>93.685000000000002</v>
      </c>
    </row>
    <row r="15" spans="1:8">
      <c r="A15" s="38" t="s">
        <v>96</v>
      </c>
      <c r="B15" s="43">
        <v>56.262</v>
      </c>
      <c r="C15" s="38"/>
      <c r="D15" s="34">
        <f t="shared" si="0"/>
        <v>56.262</v>
      </c>
    </row>
    <row r="16" spans="1:8">
      <c r="A16" s="38" t="s">
        <v>97</v>
      </c>
      <c r="B16" s="43">
        <v>29.428999999999998</v>
      </c>
      <c r="C16" s="38"/>
      <c r="D16" s="34">
        <f t="shared" si="0"/>
        <v>29.429000000000002</v>
      </c>
    </row>
    <row r="17" spans="1:11">
      <c r="A17" s="38" t="s">
        <v>98</v>
      </c>
      <c r="B17" s="43">
        <v>224.785</v>
      </c>
      <c r="C17" s="38"/>
      <c r="D17" s="34">
        <f>B17*G$5/43173.01</f>
        <v>224.78498213091646</v>
      </c>
    </row>
    <row r="18" spans="1:11">
      <c r="A18" s="38"/>
      <c r="B18" s="38"/>
      <c r="C18" s="38"/>
      <c r="D18" s="54"/>
    </row>
    <row r="19" spans="1:11">
      <c r="A19" s="38" t="s">
        <v>99</v>
      </c>
      <c r="B19" s="43">
        <v>26.759</v>
      </c>
      <c r="C19" s="38"/>
      <c r="D19" s="34">
        <f>B19*G$4/2337.1</f>
        <v>26.759</v>
      </c>
    </row>
    <row r="20" spans="1:11">
      <c r="A20" s="38" t="s">
        <v>100</v>
      </c>
      <c r="B20" s="43">
        <v>37.99</v>
      </c>
      <c r="C20" s="38"/>
      <c r="D20" s="34">
        <f t="shared" ref="D20:D22" si="1">B20*G$4/2337.1</f>
        <v>37.99</v>
      </c>
    </row>
    <row r="21" spans="1:11">
      <c r="A21" s="38" t="s">
        <v>101</v>
      </c>
      <c r="B21" s="43">
        <v>477.05500000000001</v>
      </c>
      <c r="C21" s="38"/>
      <c r="D21" s="34">
        <f t="shared" si="1"/>
        <v>477.05500000000006</v>
      </c>
    </row>
    <row r="22" spans="1:11">
      <c r="A22" s="38" t="s">
        <v>102</v>
      </c>
      <c r="B22" s="43">
        <v>5.0389999999999997</v>
      </c>
      <c r="C22" s="38"/>
      <c r="D22" s="34">
        <f t="shared" si="1"/>
        <v>5.0389999999999997</v>
      </c>
    </row>
    <row r="23" spans="1:11">
      <c r="A23" s="38" t="s">
        <v>119</v>
      </c>
      <c r="B23" s="43">
        <v>25.096</v>
      </c>
      <c r="C23" s="38"/>
      <c r="D23" s="34">
        <f>B23*G$6/3277.84</f>
        <v>25.096014768928317</v>
      </c>
    </row>
    <row r="25" spans="1:11">
      <c r="A25" s="45"/>
      <c r="B25" s="45"/>
      <c r="C25" s="45"/>
      <c r="D25" s="45"/>
    </row>
    <row r="26" spans="1:11">
      <c r="G26" t="s">
        <v>122</v>
      </c>
    </row>
    <row r="27" spans="1:11">
      <c r="A27" t="s">
        <v>85</v>
      </c>
      <c r="B27" t="s">
        <v>86</v>
      </c>
      <c r="C27" t="s">
        <v>86</v>
      </c>
      <c r="D27" t="s">
        <v>13</v>
      </c>
      <c r="E27" t="s">
        <v>87</v>
      </c>
      <c r="G27" t="s">
        <v>86</v>
      </c>
      <c r="H27" t="s">
        <v>86</v>
      </c>
    </row>
    <row r="28" spans="1:11">
      <c r="B28" t="s">
        <v>88</v>
      </c>
      <c r="C28" t="s">
        <v>89</v>
      </c>
      <c r="D28" t="s">
        <v>90</v>
      </c>
      <c r="E28" t="s">
        <v>91</v>
      </c>
      <c r="G28" t="s">
        <v>88</v>
      </c>
      <c r="H28" t="s">
        <v>89</v>
      </c>
    </row>
    <row r="30" spans="1:11">
      <c r="A30" s="38" t="s">
        <v>92</v>
      </c>
      <c r="B30" s="43">
        <v>1000</v>
      </c>
      <c r="C30" s="43">
        <v>424</v>
      </c>
      <c r="D30" s="55">
        <f t="shared" ref="D30:D36" si="2">D11</f>
        <v>354.291</v>
      </c>
      <c r="E30" s="59">
        <f>D30/(B30-C30)</f>
        <v>0.61508854166666671</v>
      </c>
      <c r="F30" s="38"/>
      <c r="G30" s="23">
        <f>B30-10</f>
        <v>990</v>
      </c>
      <c r="H30" s="23">
        <f>C30-10</f>
        <v>414</v>
      </c>
      <c r="I30" s="38"/>
      <c r="J30" s="26">
        <v>990</v>
      </c>
      <c r="K30" s="26">
        <v>414</v>
      </c>
    </row>
    <row r="31" spans="1:11">
      <c r="A31" s="38" t="s">
        <v>93</v>
      </c>
      <c r="B31" s="43">
        <v>424</v>
      </c>
      <c r="C31" s="43">
        <v>375</v>
      </c>
      <c r="D31" s="55">
        <f t="shared" si="2"/>
        <v>28.466000000000005</v>
      </c>
      <c r="E31" s="59">
        <f t="shared" ref="E31:E36" si="3">D31/(B31-C31)</f>
        <v>0.58093877551020423</v>
      </c>
      <c r="F31" s="38"/>
      <c r="G31" s="23">
        <f t="shared" ref="G31:H36" si="4">B31-10</f>
        <v>414</v>
      </c>
      <c r="H31" s="23">
        <f t="shared" si="4"/>
        <v>365</v>
      </c>
      <c r="I31" s="38"/>
      <c r="J31" s="26">
        <v>414</v>
      </c>
      <c r="K31" s="26">
        <v>365</v>
      </c>
    </row>
    <row r="32" spans="1:11">
      <c r="A32" s="38" t="s">
        <v>94</v>
      </c>
      <c r="B32" s="43">
        <v>448</v>
      </c>
      <c r="C32" s="43">
        <v>324</v>
      </c>
      <c r="D32" s="55">
        <f t="shared" si="2"/>
        <v>72.73</v>
      </c>
      <c r="E32" s="59">
        <f t="shared" si="3"/>
        <v>0.58653225806451614</v>
      </c>
      <c r="F32" s="38"/>
      <c r="G32" s="23">
        <f t="shared" si="4"/>
        <v>438</v>
      </c>
      <c r="H32" s="23">
        <f t="shared" si="4"/>
        <v>314</v>
      </c>
      <c r="I32" s="38"/>
      <c r="J32" s="26">
        <v>438</v>
      </c>
      <c r="K32" s="26">
        <v>314</v>
      </c>
    </row>
    <row r="33" spans="1:11">
      <c r="A33" s="38" t="s">
        <v>95</v>
      </c>
      <c r="B33" s="43">
        <v>130</v>
      </c>
      <c r="C33" s="43">
        <v>68</v>
      </c>
      <c r="D33" s="55">
        <f t="shared" si="2"/>
        <v>93.685000000000002</v>
      </c>
      <c r="E33" s="59">
        <f t="shared" si="3"/>
        <v>1.5110483870967741</v>
      </c>
      <c r="F33" s="38"/>
      <c r="G33" s="23">
        <f t="shared" si="4"/>
        <v>120</v>
      </c>
      <c r="H33" s="23">
        <f t="shared" si="4"/>
        <v>58</v>
      </c>
      <c r="I33" s="38"/>
      <c r="J33" s="26">
        <v>120</v>
      </c>
      <c r="K33" s="26">
        <v>58</v>
      </c>
    </row>
    <row r="34" spans="1:11">
      <c r="A34" s="38" t="s">
        <v>96</v>
      </c>
      <c r="B34" s="43">
        <v>337</v>
      </c>
      <c r="C34" s="43">
        <v>160</v>
      </c>
      <c r="D34" s="55">
        <f t="shared" si="2"/>
        <v>56.262</v>
      </c>
      <c r="E34" s="59">
        <f t="shared" si="3"/>
        <v>0.31786440677966105</v>
      </c>
      <c r="F34" s="38"/>
      <c r="G34" s="23">
        <f t="shared" si="4"/>
        <v>327</v>
      </c>
      <c r="H34" s="23">
        <f t="shared" si="4"/>
        <v>150</v>
      </c>
      <c r="I34" s="38"/>
      <c r="J34" s="26">
        <v>327</v>
      </c>
      <c r="K34" s="26">
        <v>150</v>
      </c>
    </row>
    <row r="35" spans="1:11">
      <c r="A35" s="38" t="s">
        <v>97</v>
      </c>
      <c r="B35" s="43">
        <v>160</v>
      </c>
      <c r="C35" s="43">
        <v>70</v>
      </c>
      <c r="D35" s="55">
        <f t="shared" si="2"/>
        <v>29.429000000000002</v>
      </c>
      <c r="E35" s="59">
        <f t="shared" si="3"/>
        <v>0.32698888888888888</v>
      </c>
      <c r="F35" s="38"/>
      <c r="G35" s="23">
        <f t="shared" si="4"/>
        <v>150</v>
      </c>
      <c r="H35" s="23">
        <f t="shared" si="4"/>
        <v>60</v>
      </c>
      <c r="I35" s="38"/>
      <c r="J35" s="26">
        <v>150</v>
      </c>
      <c r="K35" s="26">
        <v>60</v>
      </c>
    </row>
    <row r="36" spans="1:11">
      <c r="A36" s="38" t="s">
        <v>98</v>
      </c>
      <c r="B36" s="43">
        <v>390</v>
      </c>
      <c r="C36" s="43">
        <v>160</v>
      </c>
      <c r="D36" s="55">
        <f t="shared" si="2"/>
        <v>224.78498213091646</v>
      </c>
      <c r="E36" s="59">
        <f t="shared" si="3"/>
        <v>0.97732600926485413</v>
      </c>
      <c r="F36" s="38"/>
      <c r="G36" s="23">
        <f t="shared" si="4"/>
        <v>380</v>
      </c>
      <c r="H36" s="23">
        <f t="shared" si="4"/>
        <v>150</v>
      </c>
      <c r="I36" s="38"/>
      <c r="J36" s="26">
        <v>380</v>
      </c>
      <c r="K36" s="26">
        <v>150</v>
      </c>
    </row>
    <row r="37" spans="1:11">
      <c r="A37" s="38"/>
      <c r="B37" s="38"/>
      <c r="C37" s="38"/>
      <c r="D37" s="54"/>
      <c r="E37" s="60"/>
      <c r="F37" s="38"/>
      <c r="G37" s="38"/>
      <c r="H37" s="38"/>
      <c r="I37" s="38"/>
      <c r="J37" s="38"/>
      <c r="K37" s="38"/>
    </row>
    <row r="38" spans="1:11">
      <c r="A38" s="38" t="s">
        <v>99</v>
      </c>
      <c r="B38" s="43">
        <v>153</v>
      </c>
      <c r="C38" s="43">
        <v>370</v>
      </c>
      <c r="D38" s="55">
        <f>D19</f>
        <v>26.759</v>
      </c>
      <c r="E38" s="61">
        <f>D38/(B38-C38)</f>
        <v>-0.12331336405529954</v>
      </c>
      <c r="F38" s="38"/>
      <c r="G38" s="23">
        <f>B38</f>
        <v>153</v>
      </c>
      <c r="H38" s="23">
        <f>C38</f>
        <v>370</v>
      </c>
      <c r="I38" s="38"/>
      <c r="J38" s="26">
        <v>153</v>
      </c>
      <c r="K38" s="26">
        <v>370</v>
      </c>
    </row>
    <row r="39" spans="1:11">
      <c r="A39" s="38" t="s">
        <v>100</v>
      </c>
      <c r="B39" s="43">
        <v>370</v>
      </c>
      <c r="C39" s="43">
        <v>460</v>
      </c>
      <c r="D39" s="55">
        <f t="shared" ref="D39:D42" si="5">D20</f>
        <v>37.99</v>
      </c>
      <c r="E39" s="61">
        <f t="shared" ref="E39:E42" si="6">D39/(B39-C39)</f>
        <v>-0.42211111111111116</v>
      </c>
      <c r="F39" s="38"/>
      <c r="G39" s="23">
        <f t="shared" ref="G39:H42" si="7">B39</f>
        <v>370</v>
      </c>
      <c r="H39" s="23">
        <f t="shared" si="7"/>
        <v>460</v>
      </c>
      <c r="I39" s="38"/>
      <c r="J39" s="26">
        <v>370</v>
      </c>
      <c r="K39" s="26">
        <v>460</v>
      </c>
    </row>
    <row r="40" spans="1:11">
      <c r="A40" s="38" t="s">
        <v>101</v>
      </c>
      <c r="B40" s="43">
        <v>460</v>
      </c>
      <c r="C40" s="43">
        <v>827</v>
      </c>
      <c r="D40" s="55">
        <f t="shared" si="5"/>
        <v>477.05500000000006</v>
      </c>
      <c r="E40" s="61">
        <f t="shared" si="6"/>
        <v>-1.2998773841961855</v>
      </c>
      <c r="F40" s="38"/>
      <c r="G40" s="23">
        <f t="shared" si="7"/>
        <v>460</v>
      </c>
      <c r="H40" s="23">
        <f t="shared" si="7"/>
        <v>827</v>
      </c>
      <c r="I40" s="38"/>
      <c r="J40" s="26">
        <v>460</v>
      </c>
      <c r="K40" s="26">
        <v>827</v>
      </c>
    </row>
    <row r="41" spans="1:11">
      <c r="A41" s="38" t="s">
        <v>102</v>
      </c>
      <c r="B41" s="43">
        <v>827</v>
      </c>
      <c r="C41" s="43">
        <v>837</v>
      </c>
      <c r="D41" s="55">
        <f t="shared" si="5"/>
        <v>5.0389999999999997</v>
      </c>
      <c r="E41" s="61">
        <f t="shared" si="6"/>
        <v>-0.50390000000000001</v>
      </c>
      <c r="F41" s="38"/>
      <c r="G41" s="23">
        <f t="shared" si="7"/>
        <v>827</v>
      </c>
      <c r="H41" s="23">
        <f t="shared" si="7"/>
        <v>837</v>
      </c>
      <c r="I41" s="38"/>
      <c r="J41" s="26">
        <v>827</v>
      </c>
      <c r="K41" s="26">
        <v>837</v>
      </c>
    </row>
    <row r="42" spans="1:11">
      <c r="A42" s="38" t="s">
        <v>103</v>
      </c>
      <c r="B42" s="43">
        <v>184</v>
      </c>
      <c r="C42" s="43">
        <v>400</v>
      </c>
      <c r="D42" s="55">
        <f t="shared" si="5"/>
        <v>25.096014768928317</v>
      </c>
      <c r="E42" s="61">
        <f t="shared" si="6"/>
        <v>-0.11618525355985332</v>
      </c>
      <c r="F42" s="38"/>
      <c r="G42" s="23">
        <f t="shared" si="7"/>
        <v>184</v>
      </c>
      <c r="H42" s="23">
        <f t="shared" si="7"/>
        <v>400</v>
      </c>
      <c r="I42" s="38"/>
      <c r="J42" s="26">
        <v>184</v>
      </c>
      <c r="K42" s="26">
        <v>400</v>
      </c>
    </row>
    <row r="43" spans="1:11">
      <c r="A43" s="38" t="s">
        <v>105</v>
      </c>
      <c r="B43" s="43">
        <v>50</v>
      </c>
      <c r="C43" s="43">
        <v>132</v>
      </c>
      <c r="D43" s="55">
        <f>'Steam Balance'!G73</f>
        <v>111.21574398153582</v>
      </c>
      <c r="E43" s="61">
        <f>D43/(B43-C43)</f>
        <v>-1.3562895607504368</v>
      </c>
      <c r="F43" s="38"/>
      <c r="G43" s="23">
        <f t="shared" ref="G43:G46" si="8">B43</f>
        <v>50</v>
      </c>
      <c r="H43" s="23">
        <f t="shared" ref="H43:H46" si="9">C43</f>
        <v>132</v>
      </c>
      <c r="I43" s="38"/>
      <c r="J43" s="26">
        <v>50</v>
      </c>
      <c r="K43" s="26">
        <v>132</v>
      </c>
    </row>
    <row r="44" spans="1:11">
      <c r="A44" s="38" t="s">
        <v>104</v>
      </c>
      <c r="B44" s="43">
        <v>132</v>
      </c>
      <c r="C44" s="43">
        <v>313</v>
      </c>
      <c r="D44" s="55">
        <f>'Steam Balance'!G74</f>
        <v>291.14499999999998</v>
      </c>
      <c r="E44" s="61">
        <f t="shared" ref="E44:E46" si="10">D44/(B44-C44)</f>
        <v>-1.6085359116022098</v>
      </c>
      <c r="F44" s="38"/>
      <c r="G44" s="23">
        <f t="shared" si="8"/>
        <v>132</v>
      </c>
      <c r="H44" s="23">
        <f t="shared" si="9"/>
        <v>313</v>
      </c>
      <c r="I44" s="38"/>
      <c r="J44" s="26">
        <v>132</v>
      </c>
      <c r="K44" s="26">
        <v>313</v>
      </c>
    </row>
    <row r="45" spans="1:11">
      <c r="A45" s="38" t="s">
        <v>81</v>
      </c>
      <c r="B45" s="43">
        <v>313</v>
      </c>
      <c r="C45" s="43">
        <v>314</v>
      </c>
      <c r="D45" s="55">
        <f>'Steam Balance'!G75</f>
        <v>425.19099999999997</v>
      </c>
      <c r="E45" s="58">
        <f>D45/(B45-C45)</f>
        <v>-425.19099999999997</v>
      </c>
      <c r="F45" s="38"/>
      <c r="G45" s="23">
        <f t="shared" si="8"/>
        <v>313</v>
      </c>
      <c r="H45" s="23">
        <f t="shared" si="9"/>
        <v>314</v>
      </c>
      <c r="I45" s="38"/>
      <c r="J45" s="26">
        <v>313</v>
      </c>
      <c r="K45" s="26">
        <v>314</v>
      </c>
    </row>
    <row r="46" spans="1:11">
      <c r="A46" s="38" t="s">
        <v>82</v>
      </c>
      <c r="B46" s="43">
        <v>314</v>
      </c>
      <c r="C46" s="43">
        <v>505</v>
      </c>
      <c r="D46" s="55">
        <f>'Steam Balance'!G76</f>
        <v>218.40299999999999</v>
      </c>
      <c r="E46" s="61">
        <f t="shared" si="10"/>
        <v>-1.1434712041884816</v>
      </c>
      <c r="F46" s="38"/>
      <c r="G46" s="23">
        <f t="shared" si="8"/>
        <v>314</v>
      </c>
      <c r="H46" s="23">
        <f t="shared" si="9"/>
        <v>505</v>
      </c>
      <c r="I46" s="38"/>
      <c r="J46" s="26">
        <v>314</v>
      </c>
      <c r="K46" s="26">
        <v>505</v>
      </c>
    </row>
    <row r="49" spans="1:24">
      <c r="D49" s="26">
        <v>990</v>
      </c>
      <c r="E49" s="26">
        <v>414</v>
      </c>
      <c r="F49" s="26">
        <v>438</v>
      </c>
      <c r="G49" s="26">
        <v>120</v>
      </c>
      <c r="H49" s="26">
        <v>327</v>
      </c>
      <c r="I49" s="26">
        <v>150</v>
      </c>
      <c r="J49" s="26">
        <v>380</v>
      </c>
      <c r="K49" s="26">
        <v>153</v>
      </c>
      <c r="L49" s="26">
        <v>370</v>
      </c>
      <c r="M49" s="26">
        <v>460</v>
      </c>
      <c r="N49" s="26">
        <v>827</v>
      </c>
      <c r="O49" s="26">
        <v>184</v>
      </c>
      <c r="P49" s="26">
        <v>50</v>
      </c>
      <c r="Q49" s="26">
        <v>132</v>
      </c>
      <c r="R49" s="26">
        <v>313</v>
      </c>
      <c r="S49" s="26">
        <v>314</v>
      </c>
    </row>
    <row r="50" spans="1:24">
      <c r="D50" s="26">
        <v>414</v>
      </c>
      <c r="E50" s="26">
        <v>365</v>
      </c>
      <c r="F50" s="26">
        <v>314</v>
      </c>
      <c r="G50" s="26">
        <v>58</v>
      </c>
      <c r="H50" s="26">
        <v>150</v>
      </c>
      <c r="I50" s="26">
        <v>60</v>
      </c>
      <c r="J50" s="26">
        <v>150</v>
      </c>
      <c r="K50" s="26">
        <v>370</v>
      </c>
      <c r="L50" s="26">
        <v>460</v>
      </c>
      <c r="M50" s="26">
        <v>827</v>
      </c>
      <c r="N50" s="26">
        <v>837</v>
      </c>
      <c r="O50" s="26">
        <v>400</v>
      </c>
      <c r="P50" s="26">
        <v>132</v>
      </c>
      <c r="Q50" s="26">
        <v>313</v>
      </c>
      <c r="R50" s="26">
        <v>314</v>
      </c>
      <c r="S50" s="26">
        <v>505</v>
      </c>
    </row>
    <row r="51" spans="1:24">
      <c r="D51" s="56" t="s">
        <v>92</v>
      </c>
      <c r="E51" s="56" t="s">
        <v>93</v>
      </c>
      <c r="F51" s="56" t="s">
        <v>94</v>
      </c>
      <c r="G51" s="56" t="s">
        <v>95</v>
      </c>
      <c r="H51" s="56" t="s">
        <v>96</v>
      </c>
      <c r="I51" s="56" t="s">
        <v>97</v>
      </c>
      <c r="J51" s="56" t="s">
        <v>98</v>
      </c>
      <c r="K51" s="56" t="s">
        <v>99</v>
      </c>
      <c r="L51" s="56" t="s">
        <v>100</v>
      </c>
      <c r="M51" s="56" t="s">
        <v>101</v>
      </c>
      <c r="N51" s="56" t="s">
        <v>102</v>
      </c>
      <c r="O51" s="56" t="s">
        <v>103</v>
      </c>
      <c r="P51" s="56" t="s">
        <v>105</v>
      </c>
      <c r="Q51" s="56" t="s">
        <v>104</v>
      </c>
      <c r="R51" s="56" t="s">
        <v>81</v>
      </c>
      <c r="S51" s="56" t="s">
        <v>82</v>
      </c>
    </row>
    <row r="52" spans="1:24" s="37" customFormat="1" ht="30" customHeight="1">
      <c r="A52" s="35"/>
      <c r="B52" s="109" t="s">
        <v>106</v>
      </c>
      <c r="C52" s="109"/>
      <c r="D52" s="109" t="s">
        <v>107</v>
      </c>
      <c r="E52" s="109"/>
      <c r="F52" s="109"/>
      <c r="G52" s="109"/>
      <c r="H52" s="109"/>
      <c r="I52" s="109"/>
      <c r="J52" s="109"/>
      <c r="K52" s="109" t="s">
        <v>108</v>
      </c>
      <c r="L52" s="109"/>
      <c r="M52" s="109"/>
      <c r="N52" s="109"/>
      <c r="O52" s="109"/>
      <c r="P52" s="109"/>
      <c r="Q52" s="109"/>
      <c r="R52" s="109"/>
      <c r="S52" s="109"/>
      <c r="T52" s="36" t="s">
        <v>109</v>
      </c>
      <c r="U52" s="109" t="s">
        <v>110</v>
      </c>
      <c r="V52" s="109"/>
      <c r="W52" s="109" t="s">
        <v>111</v>
      </c>
      <c r="X52" s="109"/>
    </row>
    <row r="53" spans="1:24">
      <c r="A53" s="38"/>
      <c r="B53" s="38"/>
      <c r="C53" s="38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38"/>
      <c r="U53" s="38"/>
      <c r="V53" s="38"/>
      <c r="W53" s="38"/>
      <c r="X53" s="38"/>
    </row>
    <row r="54" spans="1:24">
      <c r="A54" s="38">
        <v>0</v>
      </c>
      <c r="B54" s="38"/>
      <c r="C54" s="38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39"/>
      <c r="U54" s="39"/>
      <c r="V54" s="106">
        <f>0</f>
        <v>0</v>
      </c>
      <c r="W54" s="39"/>
      <c r="X54" s="105">
        <f>-1*MIN(U55:U76)</f>
        <v>776.60984070035022</v>
      </c>
    </row>
    <row r="55" spans="1:24">
      <c r="A55" s="38">
        <v>1</v>
      </c>
      <c r="B55" s="43">
        <v>990</v>
      </c>
      <c r="C55" s="43">
        <v>837</v>
      </c>
      <c r="D55" s="62">
        <f>$E$30</f>
        <v>0.61508854166666671</v>
      </c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106">
        <f>(B55-C55)*SUM(D55:S55)</f>
        <v>94.108546875000002</v>
      </c>
      <c r="U55" s="106">
        <f>V54</f>
        <v>0</v>
      </c>
      <c r="V55" s="106">
        <f>U55+T55</f>
        <v>94.108546875000002</v>
      </c>
      <c r="W55" s="105">
        <f>X54</f>
        <v>776.60984070035022</v>
      </c>
      <c r="X55" s="105">
        <f>W55+T55</f>
        <v>870.71838757535022</v>
      </c>
    </row>
    <row r="56" spans="1:24">
      <c r="A56" s="38">
        <v>2</v>
      </c>
      <c r="B56" s="43">
        <v>837</v>
      </c>
      <c r="C56" s="43">
        <v>827</v>
      </c>
      <c r="D56" s="62">
        <f t="shared" ref="D56:D60" si="11">$E$30</f>
        <v>0.61508854166666671</v>
      </c>
      <c r="E56" s="57"/>
      <c r="F56" s="57"/>
      <c r="G56" s="57"/>
      <c r="H56" s="57"/>
      <c r="I56" s="57"/>
      <c r="J56" s="57"/>
      <c r="K56" s="57"/>
      <c r="L56" s="57"/>
      <c r="M56" s="57"/>
      <c r="N56" s="62">
        <f>$E$41</f>
        <v>-0.50390000000000001</v>
      </c>
      <c r="O56" s="57"/>
      <c r="P56" s="57"/>
      <c r="Q56" s="57"/>
      <c r="R56" s="57"/>
      <c r="S56" s="57"/>
      <c r="T56" s="106">
        <f t="shared" ref="T56:T75" si="12">(B56-C56)*SUM(D56:S56)</f>
        <v>1.111885416666667</v>
      </c>
      <c r="U56" s="106">
        <f t="shared" ref="U56:U75" si="13">V55</f>
        <v>94.108546875000002</v>
      </c>
      <c r="V56" s="106">
        <f t="shared" ref="V56:V75" si="14">U56+T56</f>
        <v>95.220432291666668</v>
      </c>
      <c r="W56" s="105">
        <f t="shared" ref="W56:W75" si="15">X55</f>
        <v>870.71838757535022</v>
      </c>
      <c r="X56" s="105">
        <f t="shared" ref="X56:X75" si="16">W56+T56</f>
        <v>871.83027299201694</v>
      </c>
    </row>
    <row r="57" spans="1:24">
      <c r="A57" s="38">
        <v>3</v>
      </c>
      <c r="B57" s="43">
        <v>827</v>
      </c>
      <c r="C57" s="43">
        <v>505</v>
      </c>
      <c r="D57" s="62">
        <f t="shared" si="11"/>
        <v>0.61508854166666671</v>
      </c>
      <c r="E57" s="57"/>
      <c r="F57" s="57"/>
      <c r="G57" s="57"/>
      <c r="H57" s="57"/>
      <c r="I57" s="57"/>
      <c r="J57" s="57"/>
      <c r="K57" s="57"/>
      <c r="L57" s="57"/>
      <c r="M57" s="62">
        <f>$E$40</f>
        <v>-1.2998773841961855</v>
      </c>
      <c r="N57" s="57"/>
      <c r="O57" s="57"/>
      <c r="P57" s="57"/>
      <c r="Q57" s="57"/>
      <c r="R57" s="57"/>
      <c r="S57" s="57"/>
      <c r="T57" s="106">
        <f t="shared" si="12"/>
        <v>-220.50200729450503</v>
      </c>
      <c r="U57" s="106">
        <f t="shared" si="13"/>
        <v>95.220432291666668</v>
      </c>
      <c r="V57" s="106">
        <f t="shared" si="14"/>
        <v>-125.28157500283837</v>
      </c>
      <c r="W57" s="105">
        <f t="shared" si="15"/>
        <v>871.83027299201694</v>
      </c>
      <c r="X57" s="105">
        <f t="shared" si="16"/>
        <v>651.32826569751194</v>
      </c>
    </row>
    <row r="58" spans="1:24">
      <c r="A58" s="38">
        <v>4</v>
      </c>
      <c r="B58" s="43">
        <v>505</v>
      </c>
      <c r="C58" s="43">
        <v>460</v>
      </c>
      <c r="D58" s="62">
        <f t="shared" si="11"/>
        <v>0.61508854166666671</v>
      </c>
      <c r="E58" s="57"/>
      <c r="F58" s="57"/>
      <c r="G58" s="57"/>
      <c r="H58" s="57"/>
      <c r="I58" s="57"/>
      <c r="J58" s="57"/>
      <c r="K58" s="57"/>
      <c r="L58" s="57"/>
      <c r="M58" s="62">
        <f>$E$40</f>
        <v>-1.2998773841961855</v>
      </c>
      <c r="N58" s="57"/>
      <c r="O58" s="57"/>
      <c r="P58" s="57"/>
      <c r="Q58" s="57"/>
      <c r="R58" s="57"/>
      <c r="S58" s="62">
        <f t="shared" ref="S58:S65" si="17">$E$46</f>
        <v>-1.1434712041884816</v>
      </c>
      <c r="T58" s="106">
        <f t="shared" si="12"/>
        <v>-82.271702102310016</v>
      </c>
      <c r="U58" s="106">
        <f t="shared" si="13"/>
        <v>-125.28157500283837</v>
      </c>
      <c r="V58" s="106">
        <f t="shared" si="14"/>
        <v>-207.55327710514837</v>
      </c>
      <c r="W58" s="105">
        <f t="shared" si="15"/>
        <v>651.32826569751194</v>
      </c>
      <c r="X58" s="105">
        <f t="shared" si="16"/>
        <v>569.05656359520196</v>
      </c>
    </row>
    <row r="59" spans="1:24">
      <c r="A59" s="38">
        <v>5</v>
      </c>
      <c r="B59" s="43">
        <v>460</v>
      </c>
      <c r="C59" s="43">
        <v>438</v>
      </c>
      <c r="D59" s="62">
        <f t="shared" si="11"/>
        <v>0.61508854166666671</v>
      </c>
      <c r="E59" s="57"/>
      <c r="F59" s="57"/>
      <c r="G59" s="57"/>
      <c r="H59" s="57"/>
      <c r="I59" s="57"/>
      <c r="J59" s="57"/>
      <c r="K59" s="57"/>
      <c r="L59" s="62">
        <f t="shared" ref="L59:L62" si="18">$E$39</f>
        <v>-0.42211111111111116</v>
      </c>
      <c r="M59" s="57"/>
      <c r="N59" s="57"/>
      <c r="O59" s="57"/>
      <c r="P59" s="57"/>
      <c r="Q59" s="57"/>
      <c r="R59" s="57"/>
      <c r="S59" s="62">
        <f t="shared" si="17"/>
        <v>-1.1434712041884816</v>
      </c>
      <c r="T59" s="106">
        <f t="shared" si="12"/>
        <v>-20.910863019924371</v>
      </c>
      <c r="U59" s="106">
        <f t="shared" si="13"/>
        <v>-207.55327710514837</v>
      </c>
      <c r="V59" s="106">
        <f t="shared" si="14"/>
        <v>-228.46414012507273</v>
      </c>
      <c r="W59" s="105">
        <f t="shared" si="15"/>
        <v>569.05656359520196</v>
      </c>
      <c r="X59" s="105">
        <f t="shared" si="16"/>
        <v>548.1457005752776</v>
      </c>
    </row>
    <row r="60" spans="1:24">
      <c r="A60" s="38">
        <v>6</v>
      </c>
      <c r="B60" s="43">
        <v>438</v>
      </c>
      <c r="C60" s="43">
        <v>414</v>
      </c>
      <c r="D60" s="62">
        <f t="shared" si="11"/>
        <v>0.61508854166666671</v>
      </c>
      <c r="E60" s="57"/>
      <c r="F60" s="62">
        <f>$E$32</f>
        <v>0.58653225806451614</v>
      </c>
      <c r="G60" s="57"/>
      <c r="H60" s="57"/>
      <c r="I60" s="57"/>
      <c r="J60" s="57"/>
      <c r="K60" s="57"/>
      <c r="L60" s="62">
        <f t="shared" si="18"/>
        <v>-0.42211111111111116</v>
      </c>
      <c r="M60" s="57"/>
      <c r="N60" s="57"/>
      <c r="O60" s="57"/>
      <c r="P60" s="57"/>
      <c r="Q60" s="57"/>
      <c r="R60" s="57"/>
      <c r="S60" s="62">
        <f t="shared" si="17"/>
        <v>-1.1434712041884816</v>
      </c>
      <c r="T60" s="106">
        <f t="shared" si="12"/>
        <v>-8.7350763736418386</v>
      </c>
      <c r="U60" s="106">
        <f t="shared" si="13"/>
        <v>-228.46414012507273</v>
      </c>
      <c r="V60" s="106">
        <f t="shared" si="14"/>
        <v>-237.19921649871458</v>
      </c>
      <c r="W60" s="105">
        <f t="shared" si="15"/>
        <v>548.1457005752776</v>
      </c>
      <c r="X60" s="105">
        <f t="shared" si="16"/>
        <v>539.41062420163576</v>
      </c>
    </row>
    <row r="61" spans="1:24">
      <c r="A61" s="38">
        <v>7</v>
      </c>
      <c r="B61" s="43">
        <v>414</v>
      </c>
      <c r="C61" s="43">
        <v>400</v>
      </c>
      <c r="D61" s="57"/>
      <c r="E61" s="62">
        <f>$E$31</f>
        <v>0.58093877551020423</v>
      </c>
      <c r="F61" s="62">
        <f t="shared" ref="F61:F66" si="19">$E$32</f>
        <v>0.58653225806451614</v>
      </c>
      <c r="G61" s="57"/>
      <c r="H61" s="57"/>
      <c r="I61" s="57"/>
      <c r="J61" s="57"/>
      <c r="K61" s="57"/>
      <c r="L61" s="62">
        <f t="shared" si="18"/>
        <v>-0.42211111111111116</v>
      </c>
      <c r="M61" s="57"/>
      <c r="N61" s="57"/>
      <c r="O61" s="57"/>
      <c r="P61" s="57"/>
      <c r="Q61" s="57"/>
      <c r="R61" s="57"/>
      <c r="S61" s="62">
        <f t="shared" si="17"/>
        <v>-1.1434712041884816</v>
      </c>
      <c r="T61" s="106">
        <f t="shared" si="12"/>
        <v>-5.5735579441482139</v>
      </c>
      <c r="U61" s="106">
        <f t="shared" si="13"/>
        <v>-237.19921649871458</v>
      </c>
      <c r="V61" s="106">
        <f t="shared" si="14"/>
        <v>-242.77277444286278</v>
      </c>
      <c r="W61" s="105">
        <f t="shared" si="15"/>
        <v>539.41062420163576</v>
      </c>
      <c r="X61" s="105">
        <f t="shared" si="16"/>
        <v>533.83706625748755</v>
      </c>
    </row>
    <row r="62" spans="1:24">
      <c r="A62" s="38">
        <v>8</v>
      </c>
      <c r="B62" s="43">
        <v>400</v>
      </c>
      <c r="C62" s="43">
        <v>380</v>
      </c>
      <c r="D62" s="57"/>
      <c r="E62" s="62">
        <f t="shared" ref="E62:E64" si="20">$E$31</f>
        <v>0.58093877551020423</v>
      </c>
      <c r="F62" s="62">
        <f t="shared" si="19"/>
        <v>0.58653225806451614</v>
      </c>
      <c r="G62" s="57"/>
      <c r="H62" s="57"/>
      <c r="I62" s="57"/>
      <c r="J62" s="57"/>
      <c r="K62" s="57"/>
      <c r="L62" s="62">
        <f t="shared" si="18"/>
        <v>-0.42211111111111116</v>
      </c>
      <c r="M62" s="57"/>
      <c r="N62" s="57"/>
      <c r="O62" s="62">
        <f t="shared" ref="O62:O67" si="21">$E$42</f>
        <v>-0.11618525355985332</v>
      </c>
      <c r="P62" s="57"/>
      <c r="Q62" s="57"/>
      <c r="R62" s="57"/>
      <c r="S62" s="62">
        <f t="shared" si="17"/>
        <v>-1.1434712041884816</v>
      </c>
      <c r="T62" s="106">
        <f t="shared" si="12"/>
        <v>-10.285930705694515</v>
      </c>
      <c r="U62" s="106">
        <f t="shared" si="13"/>
        <v>-242.77277444286278</v>
      </c>
      <c r="V62" s="106">
        <f t="shared" si="14"/>
        <v>-253.05870514855729</v>
      </c>
      <c r="W62" s="105">
        <f t="shared" si="15"/>
        <v>533.83706625748755</v>
      </c>
      <c r="X62" s="105">
        <f t="shared" si="16"/>
        <v>523.55113555179298</v>
      </c>
    </row>
    <row r="63" spans="1:24">
      <c r="A63" s="38">
        <v>9</v>
      </c>
      <c r="B63" s="43">
        <v>380</v>
      </c>
      <c r="C63" s="43">
        <v>370</v>
      </c>
      <c r="D63" s="57"/>
      <c r="E63" s="62">
        <f t="shared" si="20"/>
        <v>0.58093877551020423</v>
      </c>
      <c r="F63" s="62">
        <f t="shared" si="19"/>
        <v>0.58653225806451614</v>
      </c>
      <c r="G63" s="57"/>
      <c r="H63" s="57"/>
      <c r="I63" s="57"/>
      <c r="J63" s="62">
        <f>$E$36</f>
        <v>0.97732600926485413</v>
      </c>
      <c r="K63" s="57"/>
      <c r="L63" s="62">
        <f>$E$39</f>
        <v>-0.42211111111111116</v>
      </c>
      <c r="M63" s="57"/>
      <c r="N63" s="57"/>
      <c r="O63" s="62">
        <f t="shared" si="21"/>
        <v>-0.11618525355985332</v>
      </c>
      <c r="P63" s="57"/>
      <c r="Q63" s="57"/>
      <c r="R63" s="57"/>
      <c r="S63" s="62">
        <f t="shared" si="17"/>
        <v>-1.1434712041884816</v>
      </c>
      <c r="T63" s="106">
        <f t="shared" si="12"/>
        <v>4.6302947398012817</v>
      </c>
      <c r="U63" s="106">
        <f t="shared" si="13"/>
        <v>-253.05870514855729</v>
      </c>
      <c r="V63" s="106">
        <f t="shared" si="14"/>
        <v>-248.42841040875601</v>
      </c>
      <c r="W63" s="105">
        <f t="shared" si="15"/>
        <v>523.55113555179298</v>
      </c>
      <c r="X63" s="105">
        <f t="shared" si="16"/>
        <v>528.18143029159421</v>
      </c>
    </row>
    <row r="64" spans="1:24">
      <c r="A64" s="38">
        <v>10</v>
      </c>
      <c r="B64" s="43">
        <v>370</v>
      </c>
      <c r="C64" s="43">
        <v>365</v>
      </c>
      <c r="D64" s="57"/>
      <c r="E64" s="62">
        <f t="shared" si="20"/>
        <v>0.58093877551020423</v>
      </c>
      <c r="F64" s="62">
        <f t="shared" si="19"/>
        <v>0.58653225806451614</v>
      </c>
      <c r="G64" s="57"/>
      <c r="H64" s="57"/>
      <c r="I64" s="57"/>
      <c r="J64" s="62">
        <f t="shared" ref="J64:J70" si="22">$E$36</f>
        <v>0.97732600926485413</v>
      </c>
      <c r="K64" s="62">
        <f>$E$38</f>
        <v>-0.12331336405529954</v>
      </c>
      <c r="L64" s="57"/>
      <c r="M64" s="57"/>
      <c r="N64" s="57"/>
      <c r="O64" s="62">
        <f t="shared" si="21"/>
        <v>-0.11618525355985332</v>
      </c>
      <c r="P64" s="57"/>
      <c r="Q64" s="57"/>
      <c r="R64" s="57"/>
      <c r="S64" s="62">
        <f t="shared" si="17"/>
        <v>-1.1434712041884816</v>
      </c>
      <c r="T64" s="106">
        <f t="shared" si="12"/>
        <v>3.8091361051796979</v>
      </c>
      <c r="U64" s="106">
        <f t="shared" si="13"/>
        <v>-248.42841040875601</v>
      </c>
      <c r="V64" s="106">
        <f t="shared" si="14"/>
        <v>-244.6192743035763</v>
      </c>
      <c r="W64" s="105">
        <f t="shared" si="15"/>
        <v>528.18143029159421</v>
      </c>
      <c r="X64" s="105">
        <f t="shared" si="16"/>
        <v>531.99056639677394</v>
      </c>
    </row>
    <row r="65" spans="1:24">
      <c r="A65" s="38">
        <v>11</v>
      </c>
      <c r="B65" s="43">
        <v>365</v>
      </c>
      <c r="C65" s="43">
        <v>327</v>
      </c>
      <c r="D65" s="57"/>
      <c r="E65" s="57"/>
      <c r="F65" s="62">
        <f t="shared" si="19"/>
        <v>0.58653225806451614</v>
      </c>
      <c r="G65" s="57"/>
      <c r="H65" s="57"/>
      <c r="I65" s="57"/>
      <c r="J65" s="62">
        <f t="shared" si="22"/>
        <v>0.97732600926485413</v>
      </c>
      <c r="K65" s="62">
        <f t="shared" ref="K65:K69" si="23">$E$38</f>
        <v>-0.12331336405529954</v>
      </c>
      <c r="L65" s="57"/>
      <c r="M65" s="57"/>
      <c r="N65" s="57"/>
      <c r="O65" s="62">
        <f t="shared" si="21"/>
        <v>-0.11618525355985332</v>
      </c>
      <c r="P65" s="57"/>
      <c r="Q65" s="57"/>
      <c r="R65" s="57"/>
      <c r="S65" s="62">
        <f t="shared" si="17"/>
        <v>-1.1434712041884816</v>
      </c>
      <c r="T65" s="106">
        <f t="shared" si="12"/>
        <v>6.8737609299779692</v>
      </c>
      <c r="U65" s="106">
        <f t="shared" si="13"/>
        <v>-244.6192743035763</v>
      </c>
      <c r="V65" s="106">
        <f t="shared" si="14"/>
        <v>-237.74551337359833</v>
      </c>
      <c r="W65" s="105">
        <f t="shared" si="15"/>
        <v>531.99056639677394</v>
      </c>
      <c r="X65" s="105">
        <f t="shared" si="16"/>
        <v>538.86432732675189</v>
      </c>
    </row>
    <row r="66" spans="1:24">
      <c r="A66" s="38">
        <v>12</v>
      </c>
      <c r="B66" s="43">
        <v>327</v>
      </c>
      <c r="C66" s="43">
        <v>314</v>
      </c>
      <c r="D66" s="57"/>
      <c r="E66" s="57"/>
      <c r="F66" s="62">
        <f t="shared" si="19"/>
        <v>0.58653225806451614</v>
      </c>
      <c r="G66" s="57"/>
      <c r="H66" s="62">
        <f>$E$34</f>
        <v>0.31786440677966105</v>
      </c>
      <c r="I66" s="57"/>
      <c r="J66" s="62">
        <f t="shared" si="22"/>
        <v>0.97732600926485413</v>
      </c>
      <c r="K66" s="62">
        <f t="shared" si="23"/>
        <v>-0.12331336405529954</v>
      </c>
      <c r="L66" s="57"/>
      <c r="M66" s="57"/>
      <c r="N66" s="57"/>
      <c r="O66" s="62">
        <f t="shared" si="21"/>
        <v>-0.11618525355985332</v>
      </c>
      <c r="P66" s="57"/>
      <c r="Q66" s="57"/>
      <c r="R66" s="57"/>
      <c r="S66" s="62">
        <f>$E$46</f>
        <v>-1.1434712041884816</v>
      </c>
      <c r="T66" s="106">
        <f t="shared" si="12"/>
        <v>6.4837870799701616</v>
      </c>
      <c r="U66" s="106">
        <f t="shared" si="13"/>
        <v>-237.74551337359833</v>
      </c>
      <c r="V66" s="106">
        <f t="shared" si="14"/>
        <v>-231.26172629362816</v>
      </c>
      <c r="W66" s="105">
        <f t="shared" si="15"/>
        <v>538.86432732675189</v>
      </c>
      <c r="X66" s="105">
        <f t="shared" si="16"/>
        <v>545.34811440672206</v>
      </c>
    </row>
    <row r="67" spans="1:24">
      <c r="A67" s="38">
        <v>13</v>
      </c>
      <c r="B67" s="43">
        <v>314</v>
      </c>
      <c r="C67" s="43">
        <v>313</v>
      </c>
      <c r="D67" s="57"/>
      <c r="E67" s="57"/>
      <c r="F67" s="57"/>
      <c r="G67" s="57"/>
      <c r="H67" s="62">
        <f t="shared" ref="H67:H70" si="24">$E$34</f>
        <v>0.31786440677966105</v>
      </c>
      <c r="I67" s="57"/>
      <c r="J67" s="62">
        <f t="shared" si="22"/>
        <v>0.97732600926485413</v>
      </c>
      <c r="K67" s="62">
        <f t="shared" si="23"/>
        <v>-0.12331336405529954</v>
      </c>
      <c r="L67" s="57"/>
      <c r="M67" s="57"/>
      <c r="N67" s="57"/>
      <c r="O67" s="62">
        <f t="shared" si="21"/>
        <v>-0.11618525355985332</v>
      </c>
      <c r="P67" s="57"/>
      <c r="Q67" s="57"/>
      <c r="R67" s="55">
        <f>$E$45</f>
        <v>-425.19099999999997</v>
      </c>
      <c r="S67" s="57"/>
      <c r="T67" s="106">
        <f t="shared" si="12"/>
        <v>-424.13530820157064</v>
      </c>
      <c r="U67" s="106">
        <f t="shared" si="13"/>
        <v>-231.26172629362816</v>
      </c>
      <c r="V67" s="106">
        <f t="shared" si="14"/>
        <v>-655.3970344951988</v>
      </c>
      <c r="W67" s="105">
        <f t="shared" si="15"/>
        <v>545.34811440672206</v>
      </c>
      <c r="X67" s="105">
        <f t="shared" si="16"/>
        <v>121.21280620515142</v>
      </c>
    </row>
    <row r="68" spans="1:24">
      <c r="A68" s="38">
        <v>14</v>
      </c>
      <c r="B68" s="43">
        <v>313</v>
      </c>
      <c r="C68" s="43">
        <v>184</v>
      </c>
      <c r="D68" s="57"/>
      <c r="E68" s="57"/>
      <c r="F68" s="57"/>
      <c r="G68" s="57"/>
      <c r="H68" s="62">
        <f t="shared" si="24"/>
        <v>0.31786440677966105</v>
      </c>
      <c r="I68" s="57"/>
      <c r="J68" s="62">
        <f t="shared" si="22"/>
        <v>0.97732600926485413</v>
      </c>
      <c r="K68" s="62">
        <f t="shared" si="23"/>
        <v>-0.12331336405529954</v>
      </c>
      <c r="L68" s="57"/>
      <c r="M68" s="57"/>
      <c r="N68" s="57"/>
      <c r="O68" s="62">
        <f>$E$42</f>
        <v>-0.11618525355985332</v>
      </c>
      <c r="P68" s="57"/>
      <c r="Q68" s="62">
        <f t="shared" ref="Q68:Q70" si="25">$E$44</f>
        <v>-1.6085359116022098</v>
      </c>
      <c r="R68" s="57"/>
      <c r="S68" s="57"/>
      <c r="T68" s="106">
        <f t="shared" si="12"/>
        <v>-71.316890599297324</v>
      </c>
      <c r="U68" s="106">
        <f t="shared" si="13"/>
        <v>-655.3970344951988</v>
      </c>
      <c r="V68" s="106">
        <f t="shared" si="14"/>
        <v>-726.71392509449606</v>
      </c>
      <c r="W68" s="105">
        <f t="shared" si="15"/>
        <v>121.21280620515142</v>
      </c>
      <c r="X68" s="105">
        <f t="shared" si="16"/>
        <v>49.8959156058541</v>
      </c>
    </row>
    <row r="69" spans="1:24">
      <c r="A69" s="38">
        <v>15</v>
      </c>
      <c r="B69" s="43">
        <v>184</v>
      </c>
      <c r="C69" s="43">
        <v>153</v>
      </c>
      <c r="D69" s="57"/>
      <c r="E69" s="57"/>
      <c r="F69" s="57"/>
      <c r="G69" s="57"/>
      <c r="H69" s="62">
        <f t="shared" si="24"/>
        <v>0.31786440677966105</v>
      </c>
      <c r="I69" s="57"/>
      <c r="J69" s="62">
        <f t="shared" si="22"/>
        <v>0.97732600926485413</v>
      </c>
      <c r="K69" s="62">
        <f t="shared" si="23"/>
        <v>-0.12331336405529954</v>
      </c>
      <c r="L69" s="57"/>
      <c r="M69" s="57"/>
      <c r="N69" s="57"/>
      <c r="O69" s="57"/>
      <c r="P69" s="57"/>
      <c r="Q69" s="62">
        <f t="shared" si="25"/>
        <v>-1.6085359116022098</v>
      </c>
      <c r="R69" s="57"/>
      <c r="S69" s="57"/>
      <c r="T69" s="106">
        <f t="shared" si="12"/>
        <v>-13.536424648002818</v>
      </c>
      <c r="U69" s="106">
        <f t="shared" si="13"/>
        <v>-726.71392509449606</v>
      </c>
      <c r="V69" s="106">
        <f t="shared" si="14"/>
        <v>-740.25034974249888</v>
      </c>
      <c r="W69" s="105">
        <f t="shared" si="15"/>
        <v>49.8959156058541</v>
      </c>
      <c r="X69" s="105">
        <f t="shared" si="16"/>
        <v>36.359490957851278</v>
      </c>
    </row>
    <row r="70" spans="1:24">
      <c r="A70" s="38">
        <v>16</v>
      </c>
      <c r="B70" s="43">
        <v>153</v>
      </c>
      <c r="C70" s="43">
        <v>150</v>
      </c>
      <c r="D70" s="57"/>
      <c r="E70" s="57"/>
      <c r="F70" s="57"/>
      <c r="G70" s="57"/>
      <c r="H70" s="62">
        <f t="shared" si="24"/>
        <v>0.31786440677966105</v>
      </c>
      <c r="I70" s="57"/>
      <c r="J70" s="62">
        <f t="shared" si="22"/>
        <v>0.97732600926485413</v>
      </c>
      <c r="K70" s="57"/>
      <c r="L70" s="57"/>
      <c r="M70" s="57"/>
      <c r="N70" s="57"/>
      <c r="O70" s="57"/>
      <c r="P70" s="57"/>
      <c r="Q70" s="62">
        <f t="shared" si="25"/>
        <v>-1.6085359116022098</v>
      </c>
      <c r="R70" s="57"/>
      <c r="S70" s="57"/>
      <c r="T70" s="106">
        <f t="shared" si="12"/>
        <v>-0.94003648667308393</v>
      </c>
      <c r="U70" s="106">
        <f t="shared" si="13"/>
        <v>-740.25034974249888</v>
      </c>
      <c r="V70" s="106">
        <f t="shared" si="14"/>
        <v>-741.19038622917196</v>
      </c>
      <c r="W70" s="105">
        <f t="shared" si="15"/>
        <v>36.359490957851278</v>
      </c>
      <c r="X70" s="105">
        <f t="shared" si="16"/>
        <v>35.419454471178192</v>
      </c>
    </row>
    <row r="71" spans="1:24">
      <c r="A71" s="38">
        <v>17</v>
      </c>
      <c r="B71" s="43">
        <v>150</v>
      </c>
      <c r="C71" s="43">
        <v>132</v>
      </c>
      <c r="D71" s="57"/>
      <c r="E71" s="57"/>
      <c r="F71" s="57"/>
      <c r="G71" s="57"/>
      <c r="H71" s="57"/>
      <c r="I71" s="62">
        <f>$E$35</f>
        <v>0.32698888888888888</v>
      </c>
      <c r="J71" s="57"/>
      <c r="K71" s="57"/>
      <c r="L71" s="57"/>
      <c r="M71" s="57"/>
      <c r="N71" s="57"/>
      <c r="O71" s="57"/>
      <c r="P71" s="57"/>
      <c r="Q71" s="62">
        <f>$E$44</f>
        <v>-1.6085359116022098</v>
      </c>
      <c r="R71" s="57"/>
      <c r="S71" s="57"/>
      <c r="T71" s="106">
        <f t="shared" si="12"/>
        <v>-23.067846408839774</v>
      </c>
      <c r="U71" s="106">
        <f t="shared" si="13"/>
        <v>-741.19038622917196</v>
      </c>
      <c r="V71" s="106">
        <f t="shared" si="14"/>
        <v>-764.25823263801169</v>
      </c>
      <c r="W71" s="105">
        <f t="shared" si="15"/>
        <v>35.419454471178192</v>
      </c>
      <c r="X71" s="105">
        <f t="shared" si="16"/>
        <v>12.351608062338418</v>
      </c>
    </row>
    <row r="72" spans="1:24">
      <c r="A72" s="38">
        <v>18</v>
      </c>
      <c r="B72" s="43">
        <v>132</v>
      </c>
      <c r="C72" s="43">
        <v>120</v>
      </c>
      <c r="D72" s="57"/>
      <c r="E72" s="57"/>
      <c r="F72" s="57"/>
      <c r="G72" s="57"/>
      <c r="H72" s="57"/>
      <c r="I72" s="62">
        <f t="shared" ref="I72:I73" si="26">$E$35</f>
        <v>0.32698888888888888</v>
      </c>
      <c r="J72" s="57"/>
      <c r="K72" s="57"/>
      <c r="L72" s="57"/>
      <c r="M72" s="57"/>
      <c r="N72" s="57"/>
      <c r="O72" s="57"/>
      <c r="P72" s="62">
        <f t="shared" ref="P72:P74" si="27">$E$43</f>
        <v>-1.3562895607504368</v>
      </c>
      <c r="Q72" s="57"/>
      <c r="R72" s="57"/>
      <c r="S72" s="57"/>
      <c r="T72" s="106">
        <f t="shared" si="12"/>
        <v>-12.351608062338574</v>
      </c>
      <c r="U72" s="106">
        <f t="shared" si="13"/>
        <v>-764.25823263801169</v>
      </c>
      <c r="V72" s="106">
        <f t="shared" si="14"/>
        <v>-776.60984070035022</v>
      </c>
      <c r="W72" s="105">
        <f t="shared" si="15"/>
        <v>12.351608062338418</v>
      </c>
      <c r="X72" s="105">
        <f t="shared" si="16"/>
        <v>-1.5631940186722204E-13</v>
      </c>
    </row>
    <row r="73" spans="1:24">
      <c r="A73" s="38">
        <v>19</v>
      </c>
      <c r="B73" s="43">
        <v>120</v>
      </c>
      <c r="C73" s="43">
        <v>60</v>
      </c>
      <c r="D73" s="57"/>
      <c r="E73" s="57"/>
      <c r="F73" s="57"/>
      <c r="G73" s="62">
        <f>$E$33</f>
        <v>1.5110483870967741</v>
      </c>
      <c r="H73" s="57"/>
      <c r="I73" s="62">
        <f t="shared" si="26"/>
        <v>0.32698888888888888</v>
      </c>
      <c r="J73" s="57"/>
      <c r="K73" s="57"/>
      <c r="L73" s="57"/>
      <c r="M73" s="57"/>
      <c r="N73" s="57"/>
      <c r="O73" s="57"/>
      <c r="P73" s="62">
        <f t="shared" si="27"/>
        <v>-1.3562895607504368</v>
      </c>
      <c r="Q73" s="57"/>
      <c r="R73" s="57"/>
      <c r="S73" s="57"/>
      <c r="T73" s="106">
        <f t="shared" si="12"/>
        <v>28.904862914113579</v>
      </c>
      <c r="U73" s="106">
        <f t="shared" si="13"/>
        <v>-776.60984070035022</v>
      </c>
      <c r="V73" s="106">
        <f t="shared" si="14"/>
        <v>-747.70497778623667</v>
      </c>
      <c r="W73" s="105">
        <f t="shared" si="15"/>
        <v>-1.5631940186722204E-13</v>
      </c>
      <c r="X73" s="105">
        <f t="shared" si="16"/>
        <v>28.904862914113423</v>
      </c>
    </row>
    <row r="74" spans="1:24">
      <c r="A74" s="38">
        <v>20</v>
      </c>
      <c r="B74" s="43">
        <v>60</v>
      </c>
      <c r="C74" s="43">
        <v>58</v>
      </c>
      <c r="D74" s="57"/>
      <c r="E74" s="57"/>
      <c r="F74" s="57"/>
      <c r="G74" s="62">
        <f>$E$33</f>
        <v>1.5110483870967741</v>
      </c>
      <c r="H74" s="57"/>
      <c r="I74" s="57"/>
      <c r="J74" s="57"/>
      <c r="K74" s="57"/>
      <c r="L74" s="57"/>
      <c r="M74" s="57"/>
      <c r="N74" s="57"/>
      <c r="O74" s="57"/>
      <c r="P74" s="62">
        <f t="shared" si="27"/>
        <v>-1.3562895607504368</v>
      </c>
      <c r="Q74" s="57"/>
      <c r="R74" s="57"/>
      <c r="S74" s="57"/>
      <c r="T74" s="106">
        <f t="shared" si="12"/>
        <v>0.30951765269267462</v>
      </c>
      <c r="U74" s="106">
        <f t="shared" si="13"/>
        <v>-747.70497778623667</v>
      </c>
      <c r="V74" s="106">
        <f t="shared" si="14"/>
        <v>-747.39546013354402</v>
      </c>
      <c r="W74" s="105">
        <f t="shared" si="15"/>
        <v>28.904862914113423</v>
      </c>
      <c r="X74" s="105">
        <f t="shared" si="16"/>
        <v>29.214380566806099</v>
      </c>
    </row>
    <row r="75" spans="1:24">
      <c r="A75" s="38">
        <v>21</v>
      </c>
      <c r="B75" s="43">
        <v>58</v>
      </c>
      <c r="C75" s="43">
        <v>50</v>
      </c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62">
        <f>$E$43</f>
        <v>-1.3562895607504368</v>
      </c>
      <c r="Q75" s="57"/>
      <c r="R75" s="57"/>
      <c r="S75" s="57"/>
      <c r="T75" s="106">
        <f t="shared" si="12"/>
        <v>-10.850316486003495</v>
      </c>
      <c r="U75" s="106">
        <f t="shared" si="13"/>
        <v>-747.39546013354402</v>
      </c>
      <c r="V75" s="106">
        <f t="shared" si="14"/>
        <v>-758.24577661954754</v>
      </c>
      <c r="W75" s="105">
        <f t="shared" si="15"/>
        <v>29.214380566806099</v>
      </c>
      <c r="X75" s="105">
        <f t="shared" si="16"/>
        <v>18.364064080802606</v>
      </c>
    </row>
    <row r="76" spans="1:24">
      <c r="A76" s="38">
        <v>22</v>
      </c>
      <c r="B76" s="38"/>
      <c r="C76" s="38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39"/>
      <c r="U76" s="106">
        <f>V75</f>
        <v>-758.24577661954754</v>
      </c>
      <c r="V76" s="39"/>
      <c r="W76" s="105">
        <f>X75</f>
        <v>18.364064080802606</v>
      </c>
      <c r="X76" s="39"/>
    </row>
    <row r="77" spans="1:24">
      <c r="U77" s="63"/>
    </row>
    <row r="78" spans="1:24">
      <c r="A78" t="s">
        <v>124</v>
      </c>
    </row>
    <row r="79" spans="1:24">
      <c r="A79" s="62">
        <f>W55</f>
        <v>776.60984070035022</v>
      </c>
      <c r="B79" s="26">
        <f>B55</f>
        <v>990</v>
      </c>
    </row>
    <row r="80" spans="1:24">
      <c r="A80" s="62">
        <f t="shared" ref="A80:A100" si="28">W56</f>
        <v>870.71838757535022</v>
      </c>
      <c r="B80" s="26">
        <f>C55</f>
        <v>837</v>
      </c>
    </row>
    <row r="81" spans="1:2">
      <c r="A81" s="62">
        <f t="shared" si="28"/>
        <v>871.83027299201694</v>
      </c>
      <c r="B81" s="26">
        <f t="shared" ref="B81:B100" si="29">C56</f>
        <v>827</v>
      </c>
    </row>
    <row r="82" spans="1:2">
      <c r="A82" s="62">
        <f t="shared" si="28"/>
        <v>651.32826569751194</v>
      </c>
      <c r="B82" s="26">
        <f t="shared" si="29"/>
        <v>505</v>
      </c>
    </row>
    <row r="83" spans="1:2">
      <c r="A83" s="62">
        <f t="shared" si="28"/>
        <v>569.05656359520196</v>
      </c>
      <c r="B83" s="26">
        <f t="shared" si="29"/>
        <v>460</v>
      </c>
    </row>
    <row r="84" spans="1:2">
      <c r="A84" s="62">
        <f t="shared" si="28"/>
        <v>548.1457005752776</v>
      </c>
      <c r="B84" s="26">
        <f t="shared" si="29"/>
        <v>438</v>
      </c>
    </row>
    <row r="85" spans="1:2">
      <c r="A85" s="62">
        <f t="shared" si="28"/>
        <v>539.41062420163576</v>
      </c>
      <c r="B85" s="26">
        <f t="shared" si="29"/>
        <v>414</v>
      </c>
    </row>
    <row r="86" spans="1:2">
      <c r="A86" s="62">
        <f t="shared" si="28"/>
        <v>533.83706625748755</v>
      </c>
      <c r="B86" s="26">
        <f t="shared" si="29"/>
        <v>400</v>
      </c>
    </row>
    <row r="87" spans="1:2">
      <c r="A87" s="62">
        <f t="shared" si="28"/>
        <v>523.55113555179298</v>
      </c>
      <c r="B87" s="26">
        <f t="shared" si="29"/>
        <v>380</v>
      </c>
    </row>
    <row r="88" spans="1:2">
      <c r="A88" s="62">
        <f t="shared" si="28"/>
        <v>528.18143029159421</v>
      </c>
      <c r="B88" s="26">
        <f t="shared" si="29"/>
        <v>370</v>
      </c>
    </row>
    <row r="89" spans="1:2">
      <c r="A89" s="62">
        <f t="shared" si="28"/>
        <v>531.99056639677394</v>
      </c>
      <c r="B89" s="26">
        <f t="shared" si="29"/>
        <v>365</v>
      </c>
    </row>
    <row r="90" spans="1:2">
      <c r="A90" s="62">
        <f t="shared" si="28"/>
        <v>538.86432732675189</v>
      </c>
      <c r="B90" s="26">
        <f t="shared" si="29"/>
        <v>327</v>
      </c>
    </row>
    <row r="91" spans="1:2">
      <c r="A91" s="62">
        <f t="shared" si="28"/>
        <v>545.34811440672206</v>
      </c>
      <c r="B91" s="26">
        <f t="shared" si="29"/>
        <v>314</v>
      </c>
    </row>
    <row r="92" spans="1:2">
      <c r="A92" s="62">
        <f t="shared" si="28"/>
        <v>121.21280620515142</v>
      </c>
      <c r="B92" s="26">
        <f t="shared" si="29"/>
        <v>313</v>
      </c>
    </row>
    <row r="93" spans="1:2">
      <c r="A93" s="62">
        <f t="shared" si="28"/>
        <v>49.8959156058541</v>
      </c>
      <c r="B93" s="26">
        <f t="shared" si="29"/>
        <v>184</v>
      </c>
    </row>
    <row r="94" spans="1:2">
      <c r="A94" s="62">
        <f t="shared" si="28"/>
        <v>36.359490957851278</v>
      </c>
      <c r="B94" s="26">
        <f t="shared" si="29"/>
        <v>153</v>
      </c>
    </row>
    <row r="95" spans="1:2">
      <c r="A95" s="62">
        <f t="shared" si="28"/>
        <v>35.419454471178192</v>
      </c>
      <c r="B95" s="26">
        <f t="shared" si="29"/>
        <v>150</v>
      </c>
    </row>
    <row r="96" spans="1:2">
      <c r="A96" s="62">
        <f t="shared" si="28"/>
        <v>12.351608062338418</v>
      </c>
      <c r="B96" s="26">
        <f t="shared" si="29"/>
        <v>132</v>
      </c>
    </row>
    <row r="97" spans="1:4">
      <c r="A97" s="62">
        <f t="shared" si="28"/>
        <v>-1.5631940186722204E-13</v>
      </c>
      <c r="B97" s="26">
        <f t="shared" si="29"/>
        <v>120</v>
      </c>
    </row>
    <row r="98" spans="1:4">
      <c r="A98" s="62">
        <f t="shared" si="28"/>
        <v>28.904862914113423</v>
      </c>
      <c r="B98" s="26">
        <f t="shared" si="29"/>
        <v>60</v>
      </c>
    </row>
    <row r="99" spans="1:4">
      <c r="A99" s="62">
        <f t="shared" si="28"/>
        <v>29.214380566806099</v>
      </c>
      <c r="B99" s="26">
        <f t="shared" si="29"/>
        <v>58</v>
      </c>
    </row>
    <row r="100" spans="1:4">
      <c r="A100" s="62">
        <f t="shared" si="28"/>
        <v>18.364064080802606</v>
      </c>
      <c r="B100" s="26">
        <f t="shared" si="29"/>
        <v>50</v>
      </c>
    </row>
    <row r="101" spans="1:4">
      <c r="A101" t="s">
        <v>123</v>
      </c>
    </row>
    <row r="102" spans="1:4">
      <c r="A102" s="62">
        <f>A79</f>
        <v>776.60984070035022</v>
      </c>
      <c r="B102" s="24">
        <v>2019.47749874705</v>
      </c>
    </row>
    <row r="103" spans="1:4">
      <c r="A103" s="62">
        <f>A97</f>
        <v>-1.5631940186722204E-13</v>
      </c>
      <c r="B103" s="24">
        <v>279.040319805021</v>
      </c>
    </row>
    <row r="107" spans="1:4">
      <c r="A107" t="s">
        <v>133</v>
      </c>
    </row>
    <row r="109" spans="1:4">
      <c r="A109" t="s">
        <v>125</v>
      </c>
      <c r="B109" s="38" t="s">
        <v>126</v>
      </c>
      <c r="C109" s="55">
        <v>70.702646000000001</v>
      </c>
      <c r="D109" t="s">
        <v>130</v>
      </c>
    </row>
    <row r="110" spans="1:4">
      <c r="B110" s="38" t="s">
        <v>127</v>
      </c>
      <c r="C110" s="55">
        <v>11.669344000000001</v>
      </c>
      <c r="D110" t="s">
        <v>130</v>
      </c>
    </row>
    <row r="111" spans="1:4">
      <c r="B111" s="38" t="s">
        <v>128</v>
      </c>
      <c r="C111" s="55">
        <v>24.981959</v>
      </c>
      <c r="D111" t="s">
        <v>130</v>
      </c>
    </row>
    <row r="112" spans="1:4">
      <c r="B112" s="38" t="s">
        <v>129</v>
      </c>
      <c r="C112" s="55">
        <v>15.221271</v>
      </c>
      <c r="D112" t="s">
        <v>130</v>
      </c>
    </row>
    <row r="113" spans="1:4">
      <c r="B113" s="38" t="s">
        <v>132</v>
      </c>
      <c r="C113" s="34">
        <f>SUM(C109:C112)</f>
        <v>122.57522</v>
      </c>
      <c r="D113" t="s">
        <v>130</v>
      </c>
    </row>
    <row r="115" spans="1:4">
      <c r="A115" t="s">
        <v>134</v>
      </c>
      <c r="C115" s="4">
        <v>165.21703302488399</v>
      </c>
      <c r="D115" t="s">
        <v>136</v>
      </c>
    </row>
    <row r="118" spans="1:4">
      <c r="A118" t="s">
        <v>137</v>
      </c>
    </row>
    <row r="120" spans="1:4">
      <c r="A120" t="s">
        <v>125</v>
      </c>
      <c r="C120" s="64">
        <f>A102</f>
        <v>776.60984070035022</v>
      </c>
      <c r="D120" t="s">
        <v>138</v>
      </c>
    </row>
    <row r="122" spans="1:4">
      <c r="A122" t="s">
        <v>134</v>
      </c>
      <c r="C122" s="65">
        <f>C120/C113*C115</f>
        <v>1046.7790610405566</v>
      </c>
      <c r="D122" t="s">
        <v>136</v>
      </c>
    </row>
  </sheetData>
  <mergeCells count="5">
    <mergeCell ref="B52:C52"/>
    <mergeCell ref="D52:J52"/>
    <mergeCell ref="K52:S52"/>
    <mergeCell ref="U52:V52"/>
    <mergeCell ref="W52:X52"/>
  </mergeCells>
  <phoneticPr fontId="1"/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35"/>
  <sheetViews>
    <sheetView tabSelected="1" topLeftCell="A7" workbookViewId="0">
      <selection activeCell="Q20" sqref="Q20"/>
    </sheetView>
  </sheetViews>
  <sheetFormatPr baseColWidth="12" defaultColWidth="8.83203125" defaultRowHeight="17" x14ac:dyDescent="0"/>
  <cols>
    <col min="1" max="1" width="15.1640625" customWidth="1"/>
    <col min="3" max="3" width="9.1640625" bestFit="1" customWidth="1"/>
    <col min="4" max="4" width="9.5" bestFit="1" customWidth="1"/>
    <col min="5" max="5" width="10.6640625" customWidth="1"/>
    <col min="6" max="6" width="9.1640625" bestFit="1" customWidth="1"/>
    <col min="7" max="7" width="9.5" bestFit="1" customWidth="1"/>
    <col min="8" max="8" width="10.6640625" customWidth="1"/>
    <col min="9" max="10" width="9.1640625" bestFit="1" customWidth="1"/>
    <col min="11" max="11" width="10.6640625" customWidth="1"/>
    <col min="12" max="13" width="9.1640625" bestFit="1" customWidth="1"/>
    <col min="14" max="14" width="10.6640625" customWidth="1"/>
    <col min="15" max="16" width="9.1640625" bestFit="1" customWidth="1"/>
    <col min="17" max="17" width="10.6640625" customWidth="1"/>
  </cols>
  <sheetData>
    <row r="2" spans="1:17">
      <c r="A2" t="s">
        <v>157</v>
      </c>
      <c r="C2" s="27">
        <f>'Steam Balance'!F47</f>
        <v>2335</v>
      </c>
      <c r="D2" s="38" t="s">
        <v>167</v>
      </c>
    </row>
    <row r="3" spans="1:17">
      <c r="A3" t="s">
        <v>158</v>
      </c>
      <c r="C3" s="100">
        <f>'Problem Table'!C122</f>
        <v>1046.7790610405566</v>
      </c>
      <c r="D3" s="46" t="s">
        <v>135</v>
      </c>
    </row>
    <row r="4" spans="1:17">
      <c r="A4" t="s">
        <v>165</v>
      </c>
      <c r="C4" s="27">
        <f>'Steam Balance'!J70</f>
        <v>0</v>
      </c>
      <c r="D4" s="38" t="s">
        <v>168</v>
      </c>
      <c r="E4" s="101">
        <f>C4*175.5/40</f>
        <v>0</v>
      </c>
      <c r="F4" s="38" t="s">
        <v>167</v>
      </c>
      <c r="G4" s="101">
        <f>E4*22.414</f>
        <v>0</v>
      </c>
      <c r="H4" s="38" t="s">
        <v>170</v>
      </c>
      <c r="I4" s="34">
        <f>G4*B10*10^-6</f>
        <v>0</v>
      </c>
      <c r="J4" s="38" t="s">
        <v>171</v>
      </c>
    </row>
    <row r="5" spans="1:17">
      <c r="A5" t="s">
        <v>166</v>
      </c>
      <c r="C5" s="27">
        <f>'Steam Balance'!J59</f>
        <v>0</v>
      </c>
      <c r="D5" s="38" t="s">
        <v>169</v>
      </c>
      <c r="E5" s="101">
        <f>C5/40*165.217033024884</f>
        <v>0</v>
      </c>
      <c r="F5" s="38" t="s">
        <v>167</v>
      </c>
      <c r="G5" s="101">
        <f>E5*22.414</f>
        <v>0</v>
      </c>
      <c r="H5" s="38" t="s">
        <v>170</v>
      </c>
      <c r="I5" s="34">
        <f>G5*B10*10^-6</f>
        <v>0</v>
      </c>
      <c r="J5" s="38" t="s">
        <v>172</v>
      </c>
    </row>
    <row r="6" spans="1:17" ht="18" thickBot="1"/>
    <row r="7" spans="1:17">
      <c r="A7" s="66" t="s">
        <v>139</v>
      </c>
      <c r="B7" s="67"/>
      <c r="C7" s="110">
        <v>1</v>
      </c>
      <c r="D7" s="111"/>
      <c r="E7" s="112"/>
      <c r="F7" s="110"/>
      <c r="G7" s="111"/>
      <c r="H7" s="112"/>
      <c r="I7" s="110">
        <v>25</v>
      </c>
      <c r="J7" s="111"/>
      <c r="K7" s="112"/>
      <c r="L7" s="110">
        <v>30</v>
      </c>
      <c r="M7" s="111"/>
      <c r="N7" s="112"/>
      <c r="O7" s="110">
        <v>36</v>
      </c>
      <c r="P7" s="111"/>
      <c r="Q7" s="112"/>
    </row>
    <row r="8" spans="1:17">
      <c r="A8" s="68" t="s">
        <v>140</v>
      </c>
      <c r="B8" s="69"/>
      <c r="C8" s="113" t="s">
        <v>141</v>
      </c>
      <c r="D8" s="114"/>
      <c r="E8" s="115"/>
      <c r="F8" s="113" t="s">
        <v>159</v>
      </c>
      <c r="G8" s="114"/>
      <c r="H8" s="115"/>
      <c r="I8" s="113" t="s">
        <v>175</v>
      </c>
      <c r="J8" s="114"/>
      <c r="K8" s="115"/>
      <c r="L8" s="113" t="s">
        <v>176</v>
      </c>
      <c r="M8" s="114"/>
      <c r="N8" s="115"/>
      <c r="O8" s="113" t="s">
        <v>177</v>
      </c>
      <c r="P8" s="114"/>
      <c r="Q8" s="115"/>
    </row>
    <row r="9" spans="1:17" ht="54" thickBot="1">
      <c r="A9" s="70" t="s">
        <v>142</v>
      </c>
      <c r="B9" s="71" t="s">
        <v>160</v>
      </c>
      <c r="C9" s="72" t="s">
        <v>143</v>
      </c>
      <c r="D9" s="73" t="s">
        <v>161</v>
      </c>
      <c r="E9" s="91" t="s">
        <v>162</v>
      </c>
      <c r="F9" s="72" t="s">
        <v>143</v>
      </c>
      <c r="G9" s="73" t="s">
        <v>161</v>
      </c>
      <c r="H9" s="91" t="s">
        <v>162</v>
      </c>
      <c r="I9" s="72" t="s">
        <v>143</v>
      </c>
      <c r="J9" s="73" t="s">
        <v>161</v>
      </c>
      <c r="K9" s="91" t="s">
        <v>162</v>
      </c>
      <c r="L9" s="72" t="s">
        <v>143</v>
      </c>
      <c r="M9" s="73" t="s">
        <v>161</v>
      </c>
      <c r="N9" s="91" t="s">
        <v>162</v>
      </c>
      <c r="O9" s="72" t="s">
        <v>143</v>
      </c>
      <c r="P9" s="73" t="s">
        <v>161</v>
      </c>
      <c r="Q9" s="91" t="s">
        <v>162</v>
      </c>
    </row>
    <row r="10" spans="1:17">
      <c r="A10" s="74" t="s">
        <v>144</v>
      </c>
      <c r="B10" s="75">
        <v>8555.2999999999993</v>
      </c>
      <c r="C10" s="96">
        <f>C2</f>
        <v>2335</v>
      </c>
      <c r="D10" s="86">
        <f>C10*22.414</f>
        <v>52336.69</v>
      </c>
      <c r="E10" s="92">
        <f>$B10*D10*10^(-6)</f>
        <v>447.75608395699993</v>
      </c>
      <c r="F10" s="96">
        <f>C3</f>
        <v>1046.7790610405566</v>
      </c>
      <c r="G10" s="86">
        <f>F10*22.414</f>
        <v>23462.505874163038</v>
      </c>
      <c r="H10" s="92">
        <f>$B10*G10*10^(-6)</f>
        <v>200.72877650522702</v>
      </c>
      <c r="I10" s="97">
        <v>27.081766352988002</v>
      </c>
      <c r="J10" s="86">
        <f>I10*22.414</f>
        <v>607.0107110358731</v>
      </c>
      <c r="K10" s="92">
        <f>$B10*J10*10^(-6)</f>
        <v>5.1931587361252047</v>
      </c>
      <c r="L10" s="97">
        <v>32.610162286810997</v>
      </c>
      <c r="M10" s="86">
        <f>L10*22.414</f>
        <v>730.92417749658171</v>
      </c>
      <c r="N10" s="92">
        <f>$B10*M10*10^(-6)</f>
        <v>6.2532756157365048</v>
      </c>
      <c r="O10" s="97">
        <v>16.910793866559999</v>
      </c>
      <c r="P10" s="86">
        <f>O10*22.414</f>
        <v>379.03853372507587</v>
      </c>
      <c r="Q10" s="92">
        <f>$B10*P10*10^(-6)</f>
        <v>3.2427883675781413</v>
      </c>
    </row>
    <row r="11" spans="1:17">
      <c r="A11" s="68" t="s">
        <v>145</v>
      </c>
      <c r="B11" s="76">
        <v>2578.6999999999998</v>
      </c>
      <c r="C11" s="84">
        <v>0</v>
      </c>
      <c r="D11" s="87">
        <f t="shared" ref="D11:D18" si="0">C11*22.414</f>
        <v>0</v>
      </c>
      <c r="E11" s="93">
        <f t="shared" ref="E11:E18" si="1">$B11*D11*10^(-6)</f>
        <v>0</v>
      </c>
      <c r="F11" s="84">
        <v>0</v>
      </c>
      <c r="G11" s="87">
        <f t="shared" ref="G11:G18" si="2">F11*22.414</f>
        <v>0</v>
      </c>
      <c r="H11" s="93">
        <f t="shared" ref="H11:H18" si="3">$B11*G11*10^(-6)</f>
        <v>0</v>
      </c>
      <c r="I11" s="98">
        <v>250.036813361528</v>
      </c>
      <c r="J11" s="87">
        <f t="shared" ref="J11:J18" si="4">I11*22.414</f>
        <v>5604.3251346852894</v>
      </c>
      <c r="K11" s="93">
        <f t="shared" ref="K11:K18" si="5">$B11*J11*10^(-6)</f>
        <v>14.451873224812955</v>
      </c>
      <c r="L11" s="98">
        <v>32.403377161696</v>
      </c>
      <c r="M11" s="87">
        <f t="shared" ref="M11:M18" si="6">L11*22.414</f>
        <v>726.28929570225421</v>
      </c>
      <c r="N11" s="93">
        <f t="shared" ref="N11:N18" si="7">$B11*M11*10^(-6)</f>
        <v>1.8728822068274027</v>
      </c>
      <c r="O11" s="98">
        <v>0.8332074380079999</v>
      </c>
      <c r="P11" s="87">
        <f t="shared" ref="P11:P18" si="8">O11*22.414</f>
        <v>18.67551151551131</v>
      </c>
      <c r="Q11" s="93">
        <f t="shared" ref="Q11:Q18" si="9">$B11*P11*10^(-6)</f>
        <v>4.8158541545049012E-2</v>
      </c>
    </row>
    <row r="12" spans="1:17">
      <c r="A12" s="68" t="s">
        <v>146</v>
      </c>
      <c r="B12" s="76">
        <v>0</v>
      </c>
      <c r="C12" s="84">
        <v>0</v>
      </c>
      <c r="D12" s="87">
        <f t="shared" si="0"/>
        <v>0</v>
      </c>
      <c r="E12" s="93">
        <f t="shared" si="1"/>
        <v>0</v>
      </c>
      <c r="F12" s="84">
        <v>0</v>
      </c>
      <c r="G12" s="87">
        <f t="shared" si="2"/>
        <v>0</v>
      </c>
      <c r="H12" s="93">
        <f t="shared" si="3"/>
        <v>0</v>
      </c>
      <c r="I12" s="98">
        <v>0</v>
      </c>
      <c r="J12" s="87">
        <f t="shared" si="4"/>
        <v>0</v>
      </c>
      <c r="K12" s="93">
        <f t="shared" si="5"/>
        <v>0</v>
      </c>
      <c r="L12" s="98">
        <v>0</v>
      </c>
      <c r="M12" s="87">
        <f t="shared" si="6"/>
        <v>0</v>
      </c>
      <c r="N12" s="93">
        <f t="shared" si="7"/>
        <v>0</v>
      </c>
      <c r="O12" s="98">
        <v>0</v>
      </c>
      <c r="P12" s="87">
        <f t="shared" si="8"/>
        <v>0</v>
      </c>
      <c r="Q12" s="93">
        <f t="shared" si="9"/>
        <v>0</v>
      </c>
    </row>
    <row r="13" spans="1:17">
      <c r="A13" s="68" t="s">
        <v>147</v>
      </c>
      <c r="B13" s="76">
        <v>0</v>
      </c>
      <c r="C13" s="84">
        <v>0</v>
      </c>
      <c r="D13" s="87">
        <f t="shared" si="0"/>
        <v>0</v>
      </c>
      <c r="E13" s="93">
        <f t="shared" si="1"/>
        <v>0</v>
      </c>
      <c r="F13" s="84">
        <v>0</v>
      </c>
      <c r="G13" s="87">
        <f t="shared" si="2"/>
        <v>0</v>
      </c>
      <c r="H13" s="93">
        <f t="shared" si="3"/>
        <v>0</v>
      </c>
      <c r="I13" s="98">
        <v>0</v>
      </c>
      <c r="J13" s="87">
        <f t="shared" si="4"/>
        <v>0</v>
      </c>
      <c r="K13" s="93">
        <f t="shared" si="5"/>
        <v>0</v>
      </c>
      <c r="L13" s="98">
        <v>0</v>
      </c>
      <c r="M13" s="87">
        <f t="shared" si="6"/>
        <v>0</v>
      </c>
      <c r="N13" s="93">
        <f t="shared" si="7"/>
        <v>0</v>
      </c>
      <c r="O13" s="98">
        <v>0</v>
      </c>
      <c r="P13" s="87">
        <f t="shared" si="8"/>
        <v>0</v>
      </c>
      <c r="Q13" s="93">
        <f t="shared" si="9"/>
        <v>0</v>
      </c>
    </row>
    <row r="14" spans="1:17">
      <c r="A14" s="68" t="s">
        <v>148</v>
      </c>
      <c r="B14" s="76">
        <v>0</v>
      </c>
      <c r="C14" s="84">
        <v>0</v>
      </c>
      <c r="D14" s="87">
        <f t="shared" si="0"/>
        <v>0</v>
      </c>
      <c r="E14" s="93">
        <f t="shared" si="1"/>
        <v>0</v>
      </c>
      <c r="F14" s="84">
        <v>0</v>
      </c>
      <c r="G14" s="87">
        <f t="shared" si="2"/>
        <v>0</v>
      </c>
      <c r="H14" s="93">
        <f t="shared" si="3"/>
        <v>0</v>
      </c>
      <c r="I14" s="98">
        <v>82.848433218156003</v>
      </c>
      <c r="J14" s="87">
        <f t="shared" si="4"/>
        <v>1856.9647821517488</v>
      </c>
      <c r="K14" s="93">
        <f t="shared" si="5"/>
        <v>0</v>
      </c>
      <c r="L14" s="98">
        <v>16.224982752460001</v>
      </c>
      <c r="M14" s="87">
        <f t="shared" si="6"/>
        <v>363.66676341363848</v>
      </c>
      <c r="N14" s="93">
        <f t="shared" si="7"/>
        <v>0</v>
      </c>
      <c r="O14" s="98">
        <v>0.74703265797599994</v>
      </c>
      <c r="P14" s="87">
        <f t="shared" si="8"/>
        <v>16.743989995874063</v>
      </c>
      <c r="Q14" s="93">
        <f t="shared" si="9"/>
        <v>0</v>
      </c>
    </row>
    <row r="15" spans="1:17">
      <c r="A15" s="68" t="s">
        <v>149</v>
      </c>
      <c r="B15" s="76">
        <v>0</v>
      </c>
      <c r="C15" s="84">
        <v>0</v>
      </c>
      <c r="D15" s="87">
        <f t="shared" si="0"/>
        <v>0</v>
      </c>
      <c r="E15" s="93">
        <f t="shared" si="1"/>
        <v>0</v>
      </c>
      <c r="F15" s="84">
        <v>0</v>
      </c>
      <c r="G15" s="87">
        <f t="shared" si="2"/>
        <v>0</v>
      </c>
      <c r="H15" s="93">
        <f t="shared" si="3"/>
        <v>0</v>
      </c>
      <c r="I15" s="98">
        <v>22.864302301004003</v>
      </c>
      <c r="J15" s="87">
        <f t="shared" si="4"/>
        <v>512.4804717747038</v>
      </c>
      <c r="K15" s="93">
        <f t="shared" si="5"/>
        <v>0</v>
      </c>
      <c r="L15" s="98">
        <v>7.0728409118689992</v>
      </c>
      <c r="M15" s="87">
        <f t="shared" si="6"/>
        <v>158.53065619863176</v>
      </c>
      <c r="N15" s="93">
        <f t="shared" si="7"/>
        <v>0</v>
      </c>
      <c r="O15" s="98">
        <v>0.58829891449999994</v>
      </c>
      <c r="P15" s="87">
        <f t="shared" si="8"/>
        <v>13.186131869602999</v>
      </c>
      <c r="Q15" s="93">
        <f t="shared" si="9"/>
        <v>0</v>
      </c>
    </row>
    <row r="16" spans="1:17">
      <c r="A16" s="68" t="s">
        <v>150</v>
      </c>
      <c r="B16" s="76">
        <v>3381</v>
      </c>
      <c r="C16" s="84">
        <v>0</v>
      </c>
      <c r="D16" s="87">
        <f t="shared" si="0"/>
        <v>0</v>
      </c>
      <c r="E16" s="93">
        <f t="shared" si="1"/>
        <v>0</v>
      </c>
      <c r="F16" s="84">
        <v>0</v>
      </c>
      <c r="G16" s="87">
        <f t="shared" si="2"/>
        <v>0</v>
      </c>
      <c r="H16" s="93">
        <f t="shared" si="3"/>
        <v>0</v>
      </c>
      <c r="I16" s="98">
        <v>6.089731844888</v>
      </c>
      <c r="J16" s="87">
        <f t="shared" si="4"/>
        <v>136.49524957131965</v>
      </c>
      <c r="K16" s="93">
        <f t="shared" si="5"/>
        <v>0.46149043880063173</v>
      </c>
      <c r="L16" s="98">
        <v>10.392753887164</v>
      </c>
      <c r="M16" s="87">
        <f t="shared" si="6"/>
        <v>232.94318562689392</v>
      </c>
      <c r="N16" s="93">
        <f t="shared" si="7"/>
        <v>0.78758091060452839</v>
      </c>
      <c r="O16" s="98">
        <v>6.0885351229559994</v>
      </c>
      <c r="P16" s="87">
        <f t="shared" si="8"/>
        <v>136.46842624593577</v>
      </c>
      <c r="Q16" s="93">
        <f t="shared" si="9"/>
        <v>0.46139974913750886</v>
      </c>
    </row>
    <row r="17" spans="1:17">
      <c r="A17" s="68" t="s">
        <v>151</v>
      </c>
      <c r="B17" s="76">
        <v>0</v>
      </c>
      <c r="C17" s="84">
        <v>0</v>
      </c>
      <c r="D17" s="87">
        <f t="shared" si="0"/>
        <v>0</v>
      </c>
      <c r="E17" s="93">
        <f t="shared" si="1"/>
        <v>0</v>
      </c>
      <c r="F17" s="84">
        <v>0</v>
      </c>
      <c r="G17" s="87">
        <f t="shared" si="2"/>
        <v>0</v>
      </c>
      <c r="H17" s="93">
        <f t="shared" si="3"/>
        <v>0</v>
      </c>
      <c r="I17" s="98">
        <v>0</v>
      </c>
      <c r="J17" s="87">
        <f t="shared" si="4"/>
        <v>0</v>
      </c>
      <c r="K17" s="93">
        <f t="shared" si="5"/>
        <v>0</v>
      </c>
      <c r="L17" s="98">
        <v>0</v>
      </c>
      <c r="M17" s="87">
        <f t="shared" si="6"/>
        <v>0</v>
      </c>
      <c r="N17" s="93">
        <f t="shared" si="7"/>
        <v>0</v>
      </c>
      <c r="O17" s="98">
        <v>0</v>
      </c>
      <c r="P17" s="87">
        <f t="shared" si="8"/>
        <v>0</v>
      </c>
      <c r="Q17" s="93">
        <f t="shared" si="9"/>
        <v>0</v>
      </c>
    </row>
    <row r="18" spans="1:17" ht="18" thickBot="1">
      <c r="A18" s="78" t="s">
        <v>152</v>
      </c>
      <c r="B18" s="79">
        <v>0</v>
      </c>
      <c r="C18" s="85">
        <v>0</v>
      </c>
      <c r="D18" s="88">
        <f t="shared" si="0"/>
        <v>0</v>
      </c>
      <c r="E18" s="94">
        <f t="shared" si="1"/>
        <v>0</v>
      </c>
      <c r="F18" s="85">
        <v>0</v>
      </c>
      <c r="G18" s="88">
        <f t="shared" si="2"/>
        <v>0</v>
      </c>
      <c r="H18" s="94">
        <f t="shared" si="3"/>
        <v>0</v>
      </c>
      <c r="I18" s="99">
        <v>0</v>
      </c>
      <c r="J18" s="88">
        <f t="shared" si="4"/>
        <v>0</v>
      </c>
      <c r="K18" s="94">
        <f t="shared" si="5"/>
        <v>0</v>
      </c>
      <c r="L18" s="99">
        <v>0</v>
      </c>
      <c r="M18" s="88">
        <f t="shared" si="6"/>
        <v>0</v>
      </c>
      <c r="N18" s="94">
        <f t="shared" si="7"/>
        <v>0</v>
      </c>
      <c r="O18" s="99">
        <v>0</v>
      </c>
      <c r="P18" s="88">
        <f t="shared" si="8"/>
        <v>0</v>
      </c>
      <c r="Q18" s="94">
        <f t="shared" si="9"/>
        <v>0</v>
      </c>
    </row>
    <row r="19" spans="1:17" ht="18" thickBot="1">
      <c r="A19" s="80" t="s">
        <v>131</v>
      </c>
      <c r="B19" s="81"/>
      <c r="C19" s="90">
        <f t="shared" ref="C19:Q19" si="10">SUM(C10:C18)</f>
        <v>2335</v>
      </c>
      <c r="D19" s="89">
        <f t="shared" si="10"/>
        <v>52336.69</v>
      </c>
      <c r="E19" s="95">
        <f t="shared" si="10"/>
        <v>447.75608395699993</v>
      </c>
      <c r="F19" s="90">
        <f t="shared" si="10"/>
        <v>1046.7790610405566</v>
      </c>
      <c r="G19" s="89">
        <f t="shared" si="10"/>
        <v>23462.505874163038</v>
      </c>
      <c r="H19" s="95">
        <f t="shared" si="10"/>
        <v>200.72877650522702</v>
      </c>
      <c r="I19" s="90">
        <f t="shared" si="10"/>
        <v>388.92104707856396</v>
      </c>
      <c r="J19" s="89">
        <f t="shared" si="10"/>
        <v>8717.2763492189351</v>
      </c>
      <c r="K19" s="95">
        <f t="shared" si="10"/>
        <v>20.10652239973879</v>
      </c>
      <c r="L19" s="90">
        <f t="shared" si="10"/>
        <v>98.704116999999997</v>
      </c>
      <c r="M19" s="89">
        <f t="shared" si="10"/>
        <v>2212.3540784379998</v>
      </c>
      <c r="N19" s="95">
        <f t="shared" si="10"/>
        <v>8.9137387331684366</v>
      </c>
      <c r="O19" s="90">
        <f t="shared" si="10"/>
        <v>25.167867999999999</v>
      </c>
      <c r="P19" s="89">
        <f t="shared" si="10"/>
        <v>564.11259335199998</v>
      </c>
      <c r="Q19" s="95">
        <f t="shared" si="10"/>
        <v>3.7523466582606995</v>
      </c>
    </row>
    <row r="22" spans="1:17">
      <c r="A22" s="116" t="s">
        <v>186</v>
      </c>
      <c r="B22" s="116"/>
    </row>
    <row r="23" spans="1:17">
      <c r="A23" s="38" t="s">
        <v>163</v>
      </c>
      <c r="B23" s="77">
        <f>E19</f>
        <v>447.75608395699993</v>
      </c>
    </row>
    <row r="24" spans="1:17">
      <c r="A24" s="38" t="s">
        <v>153</v>
      </c>
      <c r="B24" s="77">
        <f>H19</f>
        <v>200.72877650522702</v>
      </c>
    </row>
    <row r="25" spans="1:17">
      <c r="A25" s="38"/>
      <c r="B25" s="38"/>
    </row>
    <row r="26" spans="1:17">
      <c r="A26" s="116" t="s">
        <v>164</v>
      </c>
      <c r="B26" s="116"/>
    </row>
    <row r="27" spans="1:17">
      <c r="A27" s="102" t="s">
        <v>173</v>
      </c>
      <c r="B27" s="104">
        <f>I4*B10*10^(-6)</f>
        <v>0</v>
      </c>
    </row>
    <row r="28" spans="1:17">
      <c r="A28" s="102" t="s">
        <v>174</v>
      </c>
      <c r="B28" s="104">
        <f>I5*B10*10^(-6)</f>
        <v>0</v>
      </c>
    </row>
    <row r="29" spans="1:17">
      <c r="A29" s="38" t="s">
        <v>178</v>
      </c>
      <c r="B29" s="38">
        <f>K19*-1</f>
        <v>-20.10652239973879</v>
      </c>
    </row>
    <row r="30" spans="1:17">
      <c r="A30" s="38" t="s">
        <v>179</v>
      </c>
      <c r="B30" s="38">
        <f>N19*-1</f>
        <v>-8.9137387331684366</v>
      </c>
    </row>
    <row r="31" spans="1:17">
      <c r="A31" s="38" t="s">
        <v>180</v>
      </c>
      <c r="B31" s="38">
        <f>Q19*-1</f>
        <v>-3.7523466582606995</v>
      </c>
    </row>
    <row r="32" spans="1:17">
      <c r="A32" s="38"/>
      <c r="B32" s="38"/>
    </row>
    <row r="33" spans="1:2">
      <c r="A33" s="82" t="s">
        <v>154</v>
      </c>
      <c r="B33" s="77">
        <f>B23+B24+B27+B28+B29+B30+B31</f>
        <v>615.7122526710591</v>
      </c>
    </row>
    <row r="34" spans="1:2" ht="29">
      <c r="A34" s="83" t="s">
        <v>155</v>
      </c>
      <c r="B34" s="38">
        <v>83.4</v>
      </c>
    </row>
    <row r="35" spans="1:2" ht="41">
      <c r="A35" s="83" t="s">
        <v>156</v>
      </c>
      <c r="B35" s="38">
        <f>B33/B34</f>
        <v>7.3826409193172546</v>
      </c>
    </row>
  </sheetData>
  <mergeCells count="12">
    <mergeCell ref="A22:B22"/>
    <mergeCell ref="A26:B26"/>
    <mergeCell ref="C7:E7"/>
    <mergeCell ref="F7:H7"/>
    <mergeCell ref="I7:K7"/>
    <mergeCell ref="L7:N7"/>
    <mergeCell ref="O7:Q7"/>
    <mergeCell ref="C8:E8"/>
    <mergeCell ref="F8:H8"/>
    <mergeCell ref="I8:K8"/>
    <mergeCell ref="L8:N8"/>
    <mergeCell ref="O8:Q8"/>
  </mergeCells>
  <phoneticPr fontId="1"/>
  <pageMargins left="0.7" right="0.7" top="0.75" bottom="0.75" header="0.3" footer="0.3"/>
  <pageSetup paperSize="9" orientation="portrait" verticalDpi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Steam Balance</vt:lpstr>
      <vt:lpstr>Problem Table</vt:lpstr>
      <vt:lpstr>Energy Consumption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fuchino</dc:creator>
  <cp:lastModifiedBy>KIMURA Naoki</cp:lastModifiedBy>
  <dcterms:created xsi:type="dcterms:W3CDTF">2014-05-31T08:40:15Z</dcterms:created>
  <dcterms:modified xsi:type="dcterms:W3CDTF">2014-06-12T11:29:41Z</dcterms:modified>
</cp:coreProperties>
</file>